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/>
  </bookViews>
  <sheets>
    <sheet name="Sumár" sheetId="1" r:id="rId1"/>
  </sheets>
  <definedNames>
    <definedName name="_xlnm._FilterDatabase" localSheetId="0" hidden="1">Sumár!$A$7:$V$7</definedName>
    <definedName name="_xlnm.Print_Area" localSheetId="0">Sumár!$M$4:$R$48</definedName>
  </definedNames>
  <calcPr calcId="162913"/>
</workbook>
</file>

<file path=xl/calcChain.xml><?xml version="1.0" encoding="utf-8"?>
<calcChain xmlns="http://schemas.openxmlformats.org/spreadsheetml/2006/main">
  <c r="G395" i="1" l="1"/>
  <c r="G391" i="1"/>
  <c r="G386" i="1"/>
  <c r="G353" i="1"/>
  <c r="G274" i="1"/>
  <c r="G381" i="1"/>
  <c r="G364" i="1"/>
  <c r="G377" i="1"/>
  <c r="G372" i="1"/>
  <c r="G347" i="1"/>
  <c r="G338" i="1"/>
  <c r="G326" i="1"/>
  <c r="G323" i="1"/>
  <c r="G319" i="1"/>
  <c r="G303" i="1"/>
  <c r="G287" i="1"/>
  <c r="G293" i="1"/>
  <c r="G284" i="1"/>
  <c r="G259" i="1"/>
  <c r="G260" i="1"/>
  <c r="G250" i="1"/>
  <c r="G241" i="1"/>
  <c r="G231" i="1"/>
  <c r="G222" i="1"/>
  <c r="G209" i="1"/>
  <c r="G215" i="1"/>
  <c r="G187" i="1"/>
  <c r="G175" i="1"/>
  <c r="G167" i="1"/>
  <c r="G166" i="1"/>
  <c r="G164" i="1"/>
  <c r="G162" i="1"/>
  <c r="G133" i="1"/>
  <c r="G56" i="1"/>
  <c r="G69" i="1"/>
  <c r="G24" i="1"/>
  <c r="G23" i="1"/>
  <c r="G25" i="1"/>
  <c r="H442" i="1"/>
  <c r="H385" i="1"/>
  <c r="H287" i="1"/>
  <c r="H353" i="1"/>
  <c r="H364" i="1"/>
  <c r="H373" i="1"/>
  <c r="H378" i="1"/>
  <c r="H381" i="1"/>
  <c r="H347" i="1"/>
  <c r="H338" i="1"/>
  <c r="H326" i="1"/>
  <c r="H323" i="1"/>
  <c r="H319" i="1"/>
  <c r="H303" i="1"/>
  <c r="H274" i="1"/>
  <c r="H275" i="1"/>
  <c r="H250" i="1"/>
  <c r="H241" i="1"/>
  <c r="H231" i="1"/>
  <c r="H222" i="1"/>
  <c r="H215" i="1"/>
  <c r="H209" i="1"/>
  <c r="H200" i="1"/>
  <c r="H194" i="1"/>
  <c r="H187" i="1"/>
  <c r="H172" i="1"/>
  <c r="H161" i="1"/>
  <c r="H126" i="1"/>
  <c r="H157" i="1"/>
  <c r="H146" i="1"/>
  <c r="H137" i="1"/>
  <c r="H133" i="1"/>
  <c r="H119" i="1"/>
  <c r="H113" i="1"/>
  <c r="H110" i="1"/>
  <c r="H107" i="1"/>
  <c r="H88" i="1"/>
  <c r="H85" i="1"/>
  <c r="H69" i="1"/>
  <c r="H56" i="1"/>
  <c r="H42" i="1"/>
  <c r="H40" i="1"/>
  <c r="H451" i="1"/>
  <c r="G462" i="1"/>
  <c r="H7" i="1"/>
  <c r="H26" i="1"/>
  <c r="H30" i="1"/>
  <c r="H31" i="1"/>
  <c r="H32" i="1"/>
  <c r="H24" i="1" s="1"/>
  <c r="H23" i="1" s="1"/>
  <c r="H34" i="1"/>
  <c r="H36" i="1"/>
  <c r="H37" i="1"/>
  <c r="H38" i="1"/>
  <c r="H171" i="1"/>
  <c r="H259" i="1"/>
  <c r="H395" i="1"/>
  <c r="H403" i="1"/>
  <c r="H441" i="1"/>
  <c r="H447" i="1"/>
  <c r="H461" i="1"/>
  <c r="H84" i="1" l="1"/>
  <c r="H6" i="1" s="1"/>
  <c r="H464" i="1"/>
  <c r="H230" i="1"/>
  <c r="H39" i="1"/>
  <c r="H465" i="1" l="1"/>
  <c r="T19" i="1" l="1"/>
  <c r="T41" i="1"/>
  <c r="T37" i="1"/>
  <c r="T36" i="1" s="1"/>
  <c r="T34" i="1"/>
  <c r="T32" i="1"/>
  <c r="T31" i="1"/>
  <c r="T30" i="1"/>
  <c r="T29" i="1"/>
  <c r="T28" i="1"/>
  <c r="T27" i="1"/>
  <c r="T26" i="1"/>
  <c r="T25" i="1"/>
  <c r="T23" i="1"/>
  <c r="T22" i="1"/>
  <c r="T21" i="1"/>
  <c r="T18" i="1" s="1"/>
  <c r="T20" i="1"/>
  <c r="T17" i="1"/>
  <c r="T16" i="1"/>
  <c r="T15" i="1"/>
  <c r="T14" i="1"/>
  <c r="T12" i="1"/>
  <c r="T10" i="1"/>
  <c r="T7" i="1" s="1"/>
  <c r="T9" i="1"/>
  <c r="T8" i="1"/>
  <c r="S19" i="1"/>
  <c r="S12" i="1"/>
  <c r="S41" i="1"/>
  <c r="S37" i="1"/>
  <c r="S36" i="1" s="1"/>
  <c r="S34" i="1"/>
  <c r="S32" i="1"/>
  <c r="S31" i="1"/>
  <c r="S30" i="1"/>
  <c r="S29" i="1"/>
  <c r="S28" i="1"/>
  <c r="S27" i="1"/>
  <c r="S26" i="1"/>
  <c r="S25" i="1"/>
  <c r="S23" i="1"/>
  <c r="S22" i="1"/>
  <c r="S21" i="1"/>
  <c r="S20" i="1"/>
  <c r="S18" i="1"/>
  <c r="S17" i="1"/>
  <c r="S16" i="1"/>
  <c r="S15" i="1"/>
  <c r="S14" i="1"/>
  <c r="S10" i="1"/>
  <c r="S9" i="1"/>
  <c r="S8" i="1"/>
  <c r="T24" i="1" l="1"/>
  <c r="S11" i="1"/>
  <c r="S39" i="1" s="1"/>
  <c r="S48" i="1" s="1"/>
  <c r="S7" i="1"/>
  <c r="S24" i="1"/>
  <c r="T11" i="1"/>
  <c r="T39" i="1"/>
  <c r="T48" i="1" s="1"/>
  <c r="K126" i="1"/>
  <c r="K133" i="1"/>
  <c r="K7" i="1"/>
  <c r="K24" i="1"/>
  <c r="K23" i="1" s="1"/>
  <c r="K447" i="1"/>
  <c r="K464" i="1" s="1"/>
  <c r="K441" i="1"/>
  <c r="J152" i="1"/>
  <c r="K391" i="1"/>
  <c r="K386" i="1"/>
  <c r="K381" i="1"/>
  <c r="K373" i="1"/>
  <c r="K364" i="1"/>
  <c r="K353" i="1"/>
  <c r="K347" i="1"/>
  <c r="K338" i="1"/>
  <c r="K326" i="1"/>
  <c r="K319" i="1"/>
  <c r="K303" i="1"/>
  <c r="K287" i="1"/>
  <c r="K285" i="1"/>
  <c r="K275" i="1"/>
  <c r="K241" i="1"/>
  <c r="K231" i="1"/>
  <c r="K222" i="1"/>
  <c r="K215" i="1"/>
  <c r="K194" i="1"/>
  <c r="K187" i="1"/>
  <c r="K172" i="1"/>
  <c r="K161" i="1"/>
  <c r="K146" i="1"/>
  <c r="K137" i="1"/>
  <c r="K119" i="1"/>
  <c r="K113" i="1"/>
  <c r="K88" i="1"/>
  <c r="K69" i="1"/>
  <c r="K56" i="1"/>
  <c r="K42" i="1"/>
  <c r="K84" i="1" l="1"/>
  <c r="K39" i="1"/>
  <c r="K274" i="1"/>
  <c r="K171" i="1"/>
  <c r="J60" i="1"/>
  <c r="I463" i="1"/>
  <c r="J463" i="1"/>
  <c r="J462" i="1"/>
  <c r="I454" i="1"/>
  <c r="I453" i="1"/>
  <c r="I452" i="1"/>
  <c r="I451" i="1"/>
  <c r="I450" i="1"/>
  <c r="I449" i="1"/>
  <c r="I443" i="1"/>
  <c r="I442" i="1"/>
  <c r="I403" i="1"/>
  <c r="I401" i="1"/>
  <c r="I398" i="1"/>
  <c r="I391" i="1"/>
  <c r="I388" i="1"/>
  <c r="I386" i="1"/>
  <c r="I381" i="1"/>
  <c r="I378" i="1"/>
  <c r="I373" i="1"/>
  <c r="I369" i="1"/>
  <c r="I364" i="1" s="1"/>
  <c r="I358" i="1"/>
  <c r="I357" i="1"/>
  <c r="I347" i="1"/>
  <c r="I342" i="1"/>
  <c r="I340" i="1"/>
  <c r="I329" i="1"/>
  <c r="I326" i="1" s="1"/>
  <c r="I319" i="1"/>
  <c r="I316" i="1"/>
  <c r="I315" i="1"/>
  <c r="I313" i="1"/>
  <c r="I310" i="1"/>
  <c r="I305" i="1"/>
  <c r="I304" i="1"/>
  <c r="I300" i="1"/>
  <c r="I295" i="1"/>
  <c r="I294" i="1"/>
  <c r="I292" i="1"/>
  <c r="I290" i="1"/>
  <c r="I288" i="1"/>
  <c r="I286" i="1"/>
  <c r="I285" i="1" s="1"/>
  <c r="I281" i="1"/>
  <c r="I275" i="1"/>
  <c r="I260" i="1"/>
  <c r="I259" i="1" s="1"/>
  <c r="I258" i="1"/>
  <c r="I256" i="1"/>
  <c r="I252" i="1"/>
  <c r="I242" i="1"/>
  <c r="I241" i="1" s="1"/>
  <c r="I240" i="1"/>
  <c r="I234" i="1"/>
  <c r="I223" i="1"/>
  <c r="I222" i="1" s="1"/>
  <c r="I220" i="1"/>
  <c r="I217" i="1"/>
  <c r="I216" i="1"/>
  <c r="I208" i="1"/>
  <c r="I207" i="1"/>
  <c r="I203" i="1"/>
  <c r="I201" i="1"/>
  <c r="I200" i="1"/>
  <c r="I198" i="1"/>
  <c r="I197" i="1"/>
  <c r="I196" i="1"/>
  <c r="I187" i="1"/>
  <c r="I186" i="1"/>
  <c r="I185" i="1"/>
  <c r="I184" i="1"/>
  <c r="I182" i="1"/>
  <c r="I178" i="1"/>
  <c r="I176" i="1"/>
  <c r="I175" i="1"/>
  <c r="I168" i="1"/>
  <c r="I166" i="1"/>
  <c r="I152" i="1"/>
  <c r="I146" i="1" s="1"/>
  <c r="I141" i="1"/>
  <c r="I137" i="1" s="1"/>
  <c r="I133" i="1"/>
  <c r="I131" i="1"/>
  <c r="I128" i="1"/>
  <c r="I124" i="1"/>
  <c r="I122" i="1"/>
  <c r="I119" i="1" s="1"/>
  <c r="I113" i="1"/>
  <c r="I103" i="1"/>
  <c r="I100" i="1"/>
  <c r="I99" i="1"/>
  <c r="I95" i="1"/>
  <c r="I92" i="1"/>
  <c r="I91" i="1"/>
  <c r="I89" i="1"/>
  <c r="I78" i="1"/>
  <c r="I77" i="1"/>
  <c r="I76" i="1"/>
  <c r="I75" i="1"/>
  <c r="I74" i="1"/>
  <c r="I72" i="1"/>
  <c r="I71" i="1"/>
  <c r="I67" i="1"/>
  <c r="I63" i="1"/>
  <c r="I62" i="1"/>
  <c r="I60" i="1"/>
  <c r="I55" i="1"/>
  <c r="I53" i="1"/>
  <c r="I51" i="1"/>
  <c r="I49" i="1"/>
  <c r="I48" i="1"/>
  <c r="I47" i="1"/>
  <c r="I44" i="1"/>
  <c r="I33" i="1"/>
  <c r="I24" i="1" s="1"/>
  <c r="I23" i="1" s="1"/>
  <c r="I15" i="1"/>
  <c r="I8" i="1"/>
  <c r="J454" i="1"/>
  <c r="J453" i="1"/>
  <c r="J452" i="1"/>
  <c r="J451" i="1"/>
  <c r="J450" i="1"/>
  <c r="J443" i="1"/>
  <c r="J442" i="1"/>
  <c r="J403" i="1"/>
  <c r="J401" i="1"/>
  <c r="J398" i="1"/>
  <c r="J391" i="1"/>
  <c r="J388" i="1"/>
  <c r="J386" i="1" s="1"/>
  <c r="J381" i="1"/>
  <c r="J378" i="1"/>
  <c r="J373" i="1"/>
  <c r="J369" i="1"/>
  <c r="J364" i="1" s="1"/>
  <c r="J358" i="1"/>
  <c r="J357" i="1"/>
  <c r="J347" i="1"/>
  <c r="J342" i="1"/>
  <c r="J340" i="1"/>
  <c r="J329" i="1"/>
  <c r="J326" i="1" s="1"/>
  <c r="J319" i="1"/>
  <c r="J316" i="1"/>
  <c r="J315" i="1"/>
  <c r="J313" i="1"/>
  <c r="J310" i="1"/>
  <c r="J305" i="1"/>
  <c r="J304" i="1"/>
  <c r="J300" i="1"/>
  <c r="J295" i="1"/>
  <c r="J294" i="1"/>
  <c r="J290" i="1"/>
  <c r="J288" i="1"/>
  <c r="J286" i="1"/>
  <c r="J285" i="1" s="1"/>
  <c r="J281" i="1"/>
  <c r="J275" i="1" s="1"/>
  <c r="J260" i="1"/>
  <c r="J259" i="1" s="1"/>
  <c r="J258" i="1"/>
  <c r="J256" i="1"/>
  <c r="J252" i="1"/>
  <c r="J242" i="1"/>
  <c r="J241" i="1" s="1"/>
  <c r="J240" i="1"/>
  <c r="J234" i="1"/>
  <c r="J222" i="1"/>
  <c r="J217" i="1"/>
  <c r="J216" i="1"/>
  <c r="J208" i="1"/>
  <c r="J207" i="1"/>
  <c r="J203" i="1"/>
  <c r="J201" i="1"/>
  <c r="J200" i="1"/>
  <c r="J198" i="1"/>
  <c r="J197" i="1"/>
  <c r="J196" i="1"/>
  <c r="J187" i="1"/>
  <c r="J186" i="1"/>
  <c r="J185" i="1"/>
  <c r="J184" i="1"/>
  <c r="J182" i="1"/>
  <c r="J178" i="1"/>
  <c r="J176" i="1"/>
  <c r="J175" i="1"/>
  <c r="J166" i="1"/>
  <c r="J161" i="1" s="1"/>
  <c r="J146" i="1"/>
  <c r="J141" i="1"/>
  <c r="J137" i="1" s="1"/>
  <c r="J133" i="1"/>
  <c r="J131" i="1"/>
  <c r="J128" i="1"/>
  <c r="J124" i="1"/>
  <c r="J122" i="1"/>
  <c r="J113" i="1"/>
  <c r="J103" i="1"/>
  <c r="J100" i="1"/>
  <c r="J99" i="1"/>
  <c r="J98" i="1"/>
  <c r="J97" i="1"/>
  <c r="J95" i="1"/>
  <c r="J94" i="1"/>
  <c r="J92" i="1"/>
  <c r="J91" i="1"/>
  <c r="J89" i="1"/>
  <c r="J81" i="1"/>
  <c r="J78" i="1"/>
  <c r="J77" i="1"/>
  <c r="J76" i="1"/>
  <c r="J75" i="1"/>
  <c r="J74" i="1"/>
  <c r="J72" i="1"/>
  <c r="J71" i="1"/>
  <c r="J67" i="1"/>
  <c r="J63" i="1"/>
  <c r="J56" i="1" s="1"/>
  <c r="J55" i="1"/>
  <c r="J53" i="1"/>
  <c r="J50" i="1"/>
  <c r="J49" i="1"/>
  <c r="J48" i="1"/>
  <c r="J47" i="1"/>
  <c r="J44" i="1"/>
  <c r="J33" i="1"/>
  <c r="J24" i="1" s="1"/>
  <c r="J23" i="1" s="1"/>
  <c r="J13" i="1"/>
  <c r="J12" i="1"/>
  <c r="J194" i="1" l="1"/>
  <c r="I56" i="1"/>
  <c r="I172" i="1"/>
  <c r="I42" i="1"/>
  <c r="J172" i="1"/>
  <c r="J231" i="1"/>
  <c r="J230" i="1" s="1"/>
  <c r="J441" i="1"/>
  <c r="J126" i="1"/>
  <c r="J447" i="1"/>
  <c r="I161" i="1"/>
  <c r="I7" i="1"/>
  <c r="I215" i="1"/>
  <c r="I231" i="1"/>
  <c r="J42" i="1"/>
  <c r="J215" i="1"/>
  <c r="I69" i="1"/>
  <c r="I88" i="1"/>
  <c r="I447" i="1"/>
  <c r="I464" i="1" s="1"/>
  <c r="J119" i="1"/>
  <c r="J287" i="1"/>
  <c r="J353" i="1"/>
  <c r="J395" i="1"/>
  <c r="I126" i="1"/>
  <c r="I287" i="1"/>
  <c r="I353" i="1"/>
  <c r="I441" i="1"/>
  <c r="J69" i="1"/>
  <c r="J88" i="1"/>
  <c r="J303" i="1"/>
  <c r="J338" i="1"/>
  <c r="I194" i="1"/>
  <c r="I303" i="1"/>
  <c r="I338" i="1"/>
  <c r="I395" i="1"/>
  <c r="J385" i="1"/>
  <c r="I230" i="1"/>
  <c r="I385" i="1"/>
  <c r="J464" i="1"/>
  <c r="J7" i="1"/>
  <c r="J39" i="1" l="1"/>
  <c r="I39" i="1"/>
  <c r="J171" i="1"/>
  <c r="I171" i="1"/>
  <c r="I84" i="1"/>
  <c r="J84" i="1"/>
  <c r="I274" i="1"/>
  <c r="J274" i="1"/>
  <c r="I6" i="1" l="1"/>
  <c r="I465" i="1" s="1"/>
  <c r="J6" i="1"/>
  <c r="J465" i="1" s="1"/>
  <c r="K403" i="1"/>
  <c r="K395" i="1"/>
  <c r="K385" i="1"/>
  <c r="K259" i="1"/>
  <c r="K230" i="1"/>
  <c r="K6" i="1" l="1"/>
  <c r="K465" i="1" s="1"/>
  <c r="R41" i="1"/>
  <c r="R15" i="1" l="1"/>
  <c r="R23" i="1"/>
  <c r="R12" i="1" l="1"/>
  <c r="R37" i="1" l="1"/>
  <c r="R34" i="1"/>
  <c r="R32" i="1"/>
  <c r="R31" i="1"/>
  <c r="R30" i="1"/>
  <c r="R29" i="1"/>
  <c r="R28" i="1"/>
  <c r="R27" i="1"/>
  <c r="R26" i="1"/>
  <c r="R25" i="1"/>
  <c r="R22" i="1"/>
  <c r="R21" i="1"/>
  <c r="R20" i="1"/>
  <c r="R19" i="1"/>
  <c r="R17" i="1"/>
  <c r="R16" i="1"/>
  <c r="R14" i="1"/>
  <c r="R10" i="1"/>
  <c r="R9" i="1"/>
  <c r="R8" i="1"/>
  <c r="Q16" i="1"/>
  <c r="Q36" i="1"/>
  <c r="Q30" i="1"/>
  <c r="Q25" i="1"/>
  <c r="Q19" i="1"/>
  <c r="Q18" i="1" s="1"/>
  <c r="Q12" i="1"/>
  <c r="Q7" i="1"/>
  <c r="Q11" i="1" l="1"/>
  <c r="Q24" i="1"/>
  <c r="Q39" i="1" l="1"/>
  <c r="Q48" i="1" s="1"/>
  <c r="R36" i="1" l="1"/>
  <c r="R24" i="1"/>
  <c r="R18" i="1"/>
  <c r="R11" i="1"/>
  <c r="R7" i="1"/>
  <c r="R39" i="1" l="1"/>
  <c r="P31" i="1"/>
  <c r="R48" i="1" l="1"/>
  <c r="P8" i="1" l="1"/>
  <c r="G403" i="1" l="1"/>
  <c r="P26" i="1"/>
  <c r="P25" i="1"/>
  <c r="P16" i="1"/>
  <c r="P41" i="1" l="1"/>
  <c r="P36" i="1"/>
  <c r="P24" i="1"/>
  <c r="P18" i="1"/>
  <c r="P11" i="1"/>
  <c r="P7" i="1"/>
  <c r="P39" i="1" l="1"/>
  <c r="P48" i="1" l="1"/>
  <c r="F378" i="1"/>
  <c r="F326" i="1"/>
  <c r="F323" i="1"/>
  <c r="G275" i="1"/>
  <c r="F231" i="1"/>
  <c r="G194" i="1"/>
  <c r="G172" i="1"/>
  <c r="G161" i="1"/>
  <c r="G158" i="1"/>
  <c r="G146" i="1"/>
  <c r="G137" i="1"/>
  <c r="F133" i="1"/>
  <c r="G126" i="1"/>
  <c r="G119" i="1"/>
  <c r="F113" i="1"/>
  <c r="F110" i="1"/>
  <c r="G110" i="1"/>
  <c r="G171" i="1" l="1"/>
  <c r="G385" i="1"/>
  <c r="G441" i="1" l="1"/>
  <c r="G230" i="1"/>
  <c r="G113" i="1"/>
  <c r="G107" i="1"/>
  <c r="G88" i="1"/>
  <c r="G85" i="1"/>
  <c r="G42" i="1"/>
  <c r="G7" i="1" l="1"/>
  <c r="G84" i="1"/>
  <c r="G39" i="1"/>
  <c r="F56" i="1" l="1"/>
  <c r="F287" i="1" l="1"/>
  <c r="F222" i="1"/>
  <c r="F126" i="1"/>
  <c r="F119" i="1"/>
  <c r="F107" i="1"/>
  <c r="G6" i="1" l="1"/>
  <c r="F250" i="1" l="1"/>
  <c r="G447" i="1" l="1"/>
  <c r="G464" i="1" s="1"/>
  <c r="G465" i="1" l="1"/>
  <c r="F441" i="1"/>
  <c r="F403" i="1"/>
  <c r="F395" i="1"/>
  <c r="F391" i="1"/>
  <c r="F373" i="1"/>
  <c r="F386" i="1"/>
  <c r="F381" i="1"/>
  <c r="F353" i="1"/>
  <c r="F347" i="1"/>
  <c r="F338" i="1"/>
  <c r="F319" i="1"/>
  <c r="F303" i="1"/>
  <c r="F285" i="1"/>
  <c r="F275" i="1"/>
  <c r="F259" i="1"/>
  <c r="F241" i="1"/>
  <c r="F230" i="1" s="1"/>
  <c r="F215" i="1"/>
  <c r="F209" i="1"/>
  <c r="F194" i="1"/>
  <c r="F187" i="1"/>
  <c r="F172" i="1"/>
  <c r="F161" i="1"/>
  <c r="F158" i="1"/>
  <c r="F146" i="1"/>
  <c r="F137" i="1"/>
  <c r="F69" i="1"/>
  <c r="F42" i="1"/>
  <c r="F25" i="1"/>
  <c r="O31" i="1"/>
  <c r="O24" i="1" s="1"/>
  <c r="O36" i="1"/>
  <c r="O41" i="1"/>
  <c r="F461" i="1" s="1"/>
  <c r="O18" i="1"/>
  <c r="O7" i="1"/>
  <c r="F84" i="1" l="1"/>
  <c r="F171" i="1"/>
  <c r="F385" i="1"/>
  <c r="F7" i="1"/>
  <c r="F364" i="1"/>
  <c r="F274" i="1" s="1"/>
  <c r="F39" i="1"/>
  <c r="F23" i="1"/>
  <c r="F6" i="1" l="1"/>
  <c r="O11" i="1" l="1"/>
  <c r="O39" i="1" s="1"/>
  <c r="F462" i="1" l="1"/>
  <c r="F447" i="1" s="1"/>
  <c r="O48" i="1"/>
  <c r="F464" i="1" l="1"/>
  <c r="F465" i="1" s="1"/>
</calcChain>
</file>

<file path=xl/sharedStrings.xml><?xml version="1.0" encoding="utf-8"?>
<sst xmlns="http://schemas.openxmlformats.org/spreadsheetml/2006/main" count="1009" uniqueCount="198">
  <si>
    <t>Ekonomická</t>
  </si>
  <si>
    <t>Ukazovateľ</t>
  </si>
  <si>
    <t>klasifikácia</t>
  </si>
  <si>
    <t>Mzdy</t>
  </si>
  <si>
    <t xml:space="preserve">Mzdové náklady </t>
  </si>
  <si>
    <t>Odvody do poisťovní</t>
  </si>
  <si>
    <t>Cestovné</t>
  </si>
  <si>
    <t>Elektrická energia, plyn, palivá</t>
  </si>
  <si>
    <t>Vodné stočné</t>
  </si>
  <si>
    <t>Poštovné a telekomunikačné služby</t>
  </si>
  <si>
    <t>Materiál</t>
  </si>
  <si>
    <t>Všeobecný materiál</t>
  </si>
  <si>
    <t>Výpočtová technika</t>
  </si>
  <si>
    <t>Prev.stroje, prístr.,zar.,technika,náradie</t>
  </si>
  <si>
    <t>Knihy, časopisy,noviny</t>
  </si>
  <si>
    <t>Odevy a obuv</t>
  </si>
  <si>
    <t>Reprezentačné</t>
  </si>
  <si>
    <t>Dopravné</t>
  </si>
  <si>
    <t>Palivá,mazivá,oleje,špeciálne kvapaliny</t>
  </si>
  <si>
    <t>Servis,údržba,opravy a výdavky s tým spojené</t>
  </si>
  <si>
    <t>Karty, známky, poplatky</t>
  </si>
  <si>
    <t>Zákonné poistenie vozidlá</t>
  </si>
  <si>
    <t>Rutinná a štandardná údržba</t>
  </si>
  <si>
    <t>Údržba výpočtovej techniky</t>
  </si>
  <si>
    <t>Nájomné</t>
  </si>
  <si>
    <t>Nájomné-plynové fľaše, kopírka</t>
  </si>
  <si>
    <t>Školenia, kurzy,semináre</t>
  </si>
  <si>
    <t>Všeobecné služby</t>
  </si>
  <si>
    <t>Poplatky,odvody,dane a clá</t>
  </si>
  <si>
    <t>Stravovanie</t>
  </si>
  <si>
    <t>Dotácia SF</t>
  </si>
  <si>
    <t>Odstupné, odchodné, životné jubileá</t>
  </si>
  <si>
    <t>OON</t>
  </si>
  <si>
    <t>Bežné transfery</t>
  </si>
  <si>
    <t>Náhrada príjmu pri PN</t>
  </si>
  <si>
    <t>Tržby za vyjadrovanie k PD</t>
  </si>
  <si>
    <t>Kapitálový transfer z MsÚ</t>
  </si>
  <si>
    <t>interiérové vybavenie</t>
  </si>
  <si>
    <t>01.3.3.</t>
  </si>
  <si>
    <t>05.1.0.</t>
  </si>
  <si>
    <t>05.4.0.</t>
  </si>
  <si>
    <t>04.5.1.</t>
  </si>
  <si>
    <t>04.9.0.</t>
  </si>
  <si>
    <t>Špeciálne služby SBS</t>
  </si>
  <si>
    <t xml:space="preserve">Tržby za predaj služieb </t>
  </si>
  <si>
    <t>rok 2020</t>
  </si>
  <si>
    <t>Tržby za splašky, čistenie, kosenie za N</t>
  </si>
  <si>
    <t>Schválený rozpočet</t>
  </si>
  <si>
    <t>IČO: 50 081 497</t>
  </si>
  <si>
    <t>Kapitálové výdavky</t>
  </si>
  <si>
    <t>7xx</t>
  </si>
  <si>
    <t>Výdavky celkom (BV + KV+FOV)</t>
  </si>
  <si>
    <t>Celkové príjmy</t>
  </si>
  <si>
    <t>Bežný transfer z MsÚ</t>
  </si>
  <si>
    <t>Výsledok rozpočtového hospodárenia</t>
  </si>
  <si>
    <t>Skutočnosť</t>
  </si>
  <si>
    <t>Tržby z predaja služieb a mat.</t>
  </si>
  <si>
    <t>Špec. stroje, zár., náradia</t>
  </si>
  <si>
    <t>Softvér</t>
  </si>
  <si>
    <t>Údržba budov a objektov</t>
  </si>
  <si>
    <t>Cestovné náhrady</t>
  </si>
  <si>
    <t>Poistné</t>
  </si>
  <si>
    <t>Miestne dane</t>
  </si>
  <si>
    <t>Funkčná</t>
  </si>
  <si>
    <t>klaifikácia</t>
  </si>
  <si>
    <t xml:space="preserve">Kód </t>
  </si>
  <si>
    <t>zdroja</t>
  </si>
  <si>
    <t>zákonné a havarijné poistenie plošina, leasing</t>
  </si>
  <si>
    <t>úrok z leasingu - auto</t>
  </si>
  <si>
    <t>Program</t>
  </si>
  <si>
    <t>13.9.2.</t>
  </si>
  <si>
    <t>6.1.</t>
  </si>
  <si>
    <t>11.9.</t>
  </si>
  <si>
    <t>zákonné a havarijné poistenie - auto, leasing</t>
  </si>
  <si>
    <t>Úroky</t>
  </si>
  <si>
    <t>Zákonné a havarijné poistenie - leasing</t>
  </si>
  <si>
    <t>Vratky</t>
  </si>
  <si>
    <t>631+632</t>
  </si>
  <si>
    <t>Energie a tel. služby, náhrady</t>
  </si>
  <si>
    <t>Ostatné služby</t>
  </si>
  <si>
    <t>Tržby za majetok</t>
  </si>
  <si>
    <t>zákonné a havarijne poistenie</t>
  </si>
  <si>
    <t>Kód</t>
  </si>
  <si>
    <t>Nákup strojov a náradia</t>
  </si>
  <si>
    <t>Rekonštrukcia a oderizácia strojov a náradia</t>
  </si>
  <si>
    <t>Rekonštrukcia a modernizácia budov a stavieb</t>
  </si>
  <si>
    <t>Nákup softvéru</t>
  </si>
  <si>
    <t>Nákup licencií</t>
  </si>
  <si>
    <t>Nákup výpočtovej techniky</t>
  </si>
  <si>
    <t>Prístavba, nadstavba a stavebné úpravy</t>
  </si>
  <si>
    <t>Kúpa osobného automobilu</t>
  </si>
  <si>
    <t>Z prenajatých budov, priestorov a objektov</t>
  </si>
  <si>
    <t>Bežné príjmy</t>
  </si>
  <si>
    <t>Príjmy celkom</t>
  </si>
  <si>
    <t>rok 2021</t>
  </si>
  <si>
    <t>Servis,údržba,opravy a výdavky - VT</t>
  </si>
  <si>
    <t>Z prenajatých pozemkov - pohrebníctvo</t>
  </si>
  <si>
    <t>Údržba budov a objektov - DS</t>
  </si>
  <si>
    <t>Servis,údržba,opravy a výdavky dopr. prostried.</t>
  </si>
  <si>
    <t>41/42</t>
  </si>
  <si>
    <t>od nefinančnej PO</t>
  </si>
  <si>
    <t>41/46</t>
  </si>
  <si>
    <t>Finančné operácie príjmové</t>
  </si>
  <si>
    <t>Nadobudnutie majetku</t>
  </si>
  <si>
    <t>kúpa špeciáneho auta - plošina</t>
  </si>
  <si>
    <t>špeciálne auto - plošina</t>
  </si>
  <si>
    <t>úroky</t>
  </si>
  <si>
    <t>Prevádzkové stroje, prístroje, zariadenie, technika a náradie</t>
  </si>
  <si>
    <t>Pracovné odevy, obuv</t>
  </si>
  <si>
    <t>Škody</t>
  </si>
  <si>
    <t>Palivá</t>
  </si>
  <si>
    <t>Pokuty, penále</t>
  </si>
  <si>
    <t>Špeciálny materiál</t>
  </si>
  <si>
    <t>úrok zberové voz.</t>
  </si>
  <si>
    <t>Lekárske prehliadky</t>
  </si>
  <si>
    <t>Náhrady</t>
  </si>
  <si>
    <t>Verejnoprospešné služby Stupava</t>
  </si>
  <si>
    <t>vecné plnenie</t>
  </si>
  <si>
    <t>Vecné plnenie pre MsÚ</t>
  </si>
  <si>
    <t>4.5.-správa cintorínov</t>
  </si>
  <si>
    <t>údržba cintorínov</t>
  </si>
  <si>
    <t>odvoz a zneškodnenie odpadu</t>
  </si>
  <si>
    <t>prevádzka pohrebísk</t>
  </si>
  <si>
    <t>6.1. - Odpadové hospodárstvo</t>
  </si>
  <si>
    <t>zber a odvoz TKO + auto</t>
  </si>
  <si>
    <t>zvoz separovaného odpadu</t>
  </si>
  <si>
    <t>prevádzka zberného dvora</t>
  </si>
  <si>
    <t>zber a odvoz z mestskej zelene, ver. priest.</t>
  </si>
  <si>
    <t>zametanie, údržba miestnych komunikácií, chodníkov a verej. priestranstiev</t>
  </si>
  <si>
    <t>7.4. - Pozemné komunikácie</t>
  </si>
  <si>
    <t>zimná údržba - výkony, hotovosť, mat.</t>
  </si>
  <si>
    <t>údržba chodníkov, cyklotrás, letná údržba</t>
  </si>
  <si>
    <t>údržba dažďových vpustí, naplavenín</t>
  </si>
  <si>
    <t>oprava dopravného značenia, MK</t>
  </si>
  <si>
    <t>komunikácie - výtlky, úpravy</t>
  </si>
  <si>
    <t>11.9. - Prostredie pre život</t>
  </si>
  <si>
    <t>údržba kvetín, výsadba</t>
  </si>
  <si>
    <t>údržba zelene a orezy</t>
  </si>
  <si>
    <t>údržba VO</t>
  </si>
  <si>
    <t>údržba mestského rozhlasu</t>
  </si>
  <si>
    <t>údržba majetku mesta</t>
  </si>
  <si>
    <t>technické zabezpečenie podujatí</t>
  </si>
  <si>
    <t>13.9.2. - rozvoz stravy dôchodcom</t>
  </si>
  <si>
    <t>rozvoz</t>
  </si>
  <si>
    <t>Spolu za vecné plnenie - BR</t>
  </si>
  <si>
    <t>Kapitálový transfer</t>
  </si>
  <si>
    <t>Príspevok od mesta celkom</t>
  </si>
  <si>
    <t>kosenie, údržba VP, bez/s náradím, lavičky</t>
  </si>
  <si>
    <t xml:space="preserve">iná údržba majetku mesta </t>
  </si>
  <si>
    <t>kúpa kubota</t>
  </si>
  <si>
    <t>Kúpa osobného automobilu alebo dodávka</t>
  </si>
  <si>
    <t>kúpa špecial. Auta - auto s radlicou</t>
  </si>
  <si>
    <t>investície</t>
  </si>
  <si>
    <t>rok 2022</t>
  </si>
  <si>
    <t>Rekonštrukcia a moderizácia strojov a náradia</t>
  </si>
  <si>
    <t>špeciálnych strojov, náradia</t>
  </si>
  <si>
    <t>Poistenie</t>
  </si>
  <si>
    <t>Úržba strojov, náradia</t>
  </si>
  <si>
    <t>Údržba strojov, náradia</t>
  </si>
  <si>
    <t>Dopravných prostriedkov</t>
  </si>
  <si>
    <t>Propagácia</t>
  </si>
  <si>
    <t>kúpa nákl. Vozidlo</t>
  </si>
  <si>
    <t>nákup kvetinovej výzdoby</t>
  </si>
  <si>
    <t xml:space="preserve">Nákup strojov a náradia </t>
  </si>
  <si>
    <t>multifunkčné vozidlo na zimnú údržbu, polievanie a prevoz materiálu</t>
  </si>
  <si>
    <t>leasing - auto zberové vozidlo KO</t>
  </si>
  <si>
    <t xml:space="preserve">biologicky rozložiteľný odpad </t>
  </si>
  <si>
    <t>dažďová kanalizácia - správa</t>
  </si>
  <si>
    <t>klasif.</t>
  </si>
  <si>
    <t xml:space="preserve">Všeobecné služby + BRKO služby </t>
  </si>
  <si>
    <t xml:space="preserve">Všeobecné služby + Sprava DK </t>
  </si>
  <si>
    <t>Všeobecný materiál - BRKO koše</t>
  </si>
  <si>
    <t>Rozpočet po zmenách</t>
  </si>
  <si>
    <t>Špeciálne slubžby</t>
  </si>
  <si>
    <t>4.5</t>
  </si>
  <si>
    <t>Nákup prevádzkových zariadení</t>
  </si>
  <si>
    <t>11..9</t>
  </si>
  <si>
    <t>Nákup špeciálnej techniky</t>
  </si>
  <si>
    <t>Nákup techniky</t>
  </si>
  <si>
    <t>Kúpa automobilu</t>
  </si>
  <si>
    <t>11.9</t>
  </si>
  <si>
    <t>7.3</t>
  </si>
  <si>
    <t>63xxxx</t>
  </si>
  <si>
    <t>Covid</t>
  </si>
  <si>
    <t>COVID - 19</t>
  </si>
  <si>
    <t>6.1</t>
  </si>
  <si>
    <t>13.9.2</t>
  </si>
  <si>
    <t>smetiarske vozidlo</t>
  </si>
  <si>
    <t>smetiarske auto</t>
  </si>
  <si>
    <t>,</t>
  </si>
  <si>
    <t>kúpa špeciáneho multtifunkčného auta</t>
  </si>
  <si>
    <t>02.2.0.</t>
  </si>
  <si>
    <t xml:space="preserve">úrok </t>
  </si>
  <si>
    <t>Prev.stroje, prístr.,zar.,technika,náradie, PHM</t>
  </si>
  <si>
    <t>Z prenajatých pozemkov</t>
  </si>
  <si>
    <t xml:space="preserve"> </t>
  </si>
  <si>
    <t>za prušenie predpisov</t>
  </si>
  <si>
    <t>Čerpanie rozpočtu príspevkovej organizácie Verejnoprospešné služby Stupava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</si>
</sst>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€-1]"/>
    <numFmt numFmtId="166" formatCode="#,##0.0000\ [$€-1]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165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3">
    <xf numFmtId="165" fontId="0" fillId="0" borderId="0" xfId="0"/>
    <xf numFmtId="165" fontId="1" fillId="3" borderId="1" xfId="0" applyFont="1" applyFill="1" applyBorder="1"/>
    <xf numFmtId="1" fontId="1" fillId="5" borderId="1" xfId="0" applyNumberFormat="1" applyFont="1" applyFill="1" applyBorder="1"/>
    <xf numFmtId="165" fontId="3" fillId="4" borderId="6" xfId="0" applyFont="1" applyFill="1" applyBorder="1" applyAlignment="1">
      <alignment horizontal="center"/>
    </xf>
    <xf numFmtId="165" fontId="3" fillId="4" borderId="9" xfId="0" applyFont="1" applyFill="1" applyBorder="1" applyAlignment="1">
      <alignment horizontal="center"/>
    </xf>
    <xf numFmtId="165" fontId="2" fillId="3" borderId="31" xfId="0" applyFont="1" applyFill="1" applyBorder="1"/>
    <xf numFmtId="165" fontId="2" fillId="3" borderId="13" xfId="0" applyFont="1" applyFill="1" applyBorder="1"/>
    <xf numFmtId="165" fontId="1" fillId="0" borderId="15" xfId="0" applyFont="1" applyBorder="1"/>
    <xf numFmtId="165" fontId="1" fillId="0" borderId="32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Border="1"/>
    <xf numFmtId="165" fontId="2" fillId="0" borderId="15" xfId="0" applyFont="1" applyBorder="1"/>
    <xf numFmtId="165" fontId="2" fillId="0" borderId="32" xfId="0" applyFont="1" applyFill="1" applyBorder="1"/>
    <xf numFmtId="165" fontId="1" fillId="0" borderId="32" xfId="0" applyFont="1" applyFill="1" applyBorder="1" applyAlignment="1">
      <alignment wrapText="1"/>
    </xf>
    <xf numFmtId="165" fontId="1" fillId="0" borderId="32" xfId="0" applyFont="1" applyBorder="1"/>
    <xf numFmtId="165" fontId="2" fillId="0" borderId="32" xfId="0" applyFont="1" applyBorder="1"/>
    <xf numFmtId="165" fontId="2" fillId="0" borderId="17" xfId="0" applyFont="1" applyBorder="1"/>
    <xf numFmtId="165" fontId="1" fillId="0" borderId="17" xfId="0" applyFont="1" applyBorder="1"/>
    <xf numFmtId="165" fontId="2" fillId="6" borderId="14" xfId="0" applyFont="1" applyFill="1" applyBorder="1"/>
    <xf numFmtId="165" fontId="2" fillId="0" borderId="16" xfId="0" applyFont="1" applyBorder="1"/>
    <xf numFmtId="165" fontId="2" fillId="0" borderId="28" xfId="0" applyFont="1" applyBorder="1" applyAlignment="1">
      <alignment wrapText="1"/>
    </xf>
    <xf numFmtId="165" fontId="1" fillId="3" borderId="33" xfId="0" applyFont="1" applyFill="1" applyBorder="1"/>
    <xf numFmtId="165" fontId="2" fillId="3" borderId="14" xfId="0" applyFont="1" applyFill="1" applyBorder="1"/>
    <xf numFmtId="165" fontId="1" fillId="3" borderId="35" xfId="0" applyFont="1" applyFill="1" applyBorder="1"/>
    <xf numFmtId="165" fontId="2" fillId="5" borderId="14" xfId="0" applyFont="1" applyFill="1" applyBorder="1"/>
    <xf numFmtId="4" fontId="1" fillId="0" borderId="24" xfId="0" applyNumberFormat="1" applyFont="1" applyBorder="1"/>
    <xf numFmtId="165" fontId="1" fillId="0" borderId="24" xfId="0" applyFont="1" applyBorder="1"/>
    <xf numFmtId="4" fontId="1" fillId="0" borderId="24" xfId="0" applyNumberFormat="1" applyFont="1" applyFill="1" applyBorder="1"/>
    <xf numFmtId="4" fontId="1" fillId="0" borderId="25" xfId="0" applyNumberFormat="1" applyFont="1" applyBorder="1"/>
    <xf numFmtId="4" fontId="2" fillId="6" borderId="27" xfId="0" applyNumberFormat="1" applyFont="1" applyFill="1" applyBorder="1"/>
    <xf numFmtId="4" fontId="1" fillId="3" borderId="27" xfId="0" applyNumberFormat="1" applyFont="1" applyFill="1" applyBorder="1"/>
    <xf numFmtId="4" fontId="2" fillId="3" borderId="31" xfId="0" applyNumberFormat="1" applyFont="1" applyFill="1" applyBorder="1"/>
    <xf numFmtId="4" fontId="2" fillId="0" borderId="15" xfId="0" applyNumberFormat="1" applyFont="1" applyFill="1" applyBorder="1"/>
    <xf numFmtId="4" fontId="2" fillId="0" borderId="15" xfId="0" applyNumberFormat="1" applyFont="1" applyBorder="1"/>
    <xf numFmtId="4" fontId="2" fillId="6" borderId="33" xfId="0" applyNumberFormat="1" applyFont="1" applyFill="1" applyBorder="1"/>
    <xf numFmtId="4" fontId="2" fillId="5" borderId="33" xfId="0" applyNumberFormat="1" applyFont="1" applyFill="1" applyBorder="1"/>
    <xf numFmtId="165" fontId="2" fillId="6" borderId="28" xfId="0" applyFont="1" applyFill="1" applyBorder="1"/>
    <xf numFmtId="4" fontId="2" fillId="6" borderId="38" xfId="0" applyNumberFormat="1" applyFont="1" applyFill="1" applyBorder="1"/>
    <xf numFmtId="165" fontId="1" fillId="3" borderId="32" xfId="0" applyFont="1" applyFill="1" applyBorder="1"/>
    <xf numFmtId="4" fontId="1" fillId="3" borderId="24" xfId="0" applyNumberFormat="1" applyFont="1" applyFill="1" applyBorder="1"/>
    <xf numFmtId="165" fontId="1" fillId="3" borderId="24" xfId="0" applyFont="1" applyFill="1" applyBorder="1"/>
    <xf numFmtId="1" fontId="1" fillId="5" borderId="12" xfId="0" applyNumberFormat="1" applyFont="1" applyFill="1" applyBorder="1"/>
    <xf numFmtId="1" fontId="1" fillId="5" borderId="19" xfId="0" applyNumberFormat="1" applyFont="1" applyFill="1" applyBorder="1"/>
    <xf numFmtId="1" fontId="1" fillId="5" borderId="5" xfId="0" applyNumberFormat="1" applyFont="1" applyFill="1" applyBorder="1"/>
    <xf numFmtId="165" fontId="2" fillId="5" borderId="5" xfId="0" applyFont="1" applyFill="1" applyBorder="1"/>
    <xf numFmtId="1" fontId="1" fillId="5" borderId="41" xfId="0" applyNumberFormat="1" applyFont="1" applyFill="1" applyBorder="1"/>
    <xf numFmtId="165" fontId="1" fillId="3" borderId="41" xfId="0" applyFont="1" applyFill="1" applyBorder="1"/>
    <xf numFmtId="1" fontId="1" fillId="5" borderId="40" xfId="0" applyNumberFormat="1" applyFont="1" applyFill="1" applyBorder="1"/>
    <xf numFmtId="1" fontId="1" fillId="5" borderId="8" xfId="0" applyNumberFormat="1" applyFont="1" applyFill="1" applyBorder="1"/>
    <xf numFmtId="1" fontId="1" fillId="5" borderId="11" xfId="0" applyNumberFormat="1" applyFont="1" applyFill="1" applyBorder="1"/>
    <xf numFmtId="1" fontId="1" fillId="5" borderId="5" xfId="0" applyNumberFormat="1" applyFont="1" applyFill="1" applyBorder="1" applyAlignment="1">
      <alignment horizontal="right"/>
    </xf>
    <xf numFmtId="4" fontId="1" fillId="0" borderId="48" xfId="0" applyNumberFormat="1" applyFont="1" applyBorder="1"/>
    <xf numFmtId="4" fontId="1" fillId="3" borderId="48" xfId="0" applyNumberFormat="1" applyFont="1" applyFill="1" applyBorder="1"/>
    <xf numFmtId="49" fontId="1" fillId="5" borderId="1" xfId="0" applyNumberFormat="1" applyFont="1" applyFill="1" applyBorder="1" applyAlignment="1">
      <alignment horizontal="right"/>
    </xf>
    <xf numFmtId="165" fontId="2" fillId="3" borderId="0" xfId="0" applyFont="1" applyFill="1" applyBorder="1"/>
    <xf numFmtId="4" fontId="2" fillId="3" borderId="0" xfId="0" applyNumberFormat="1" applyFont="1" applyFill="1" applyBorder="1"/>
    <xf numFmtId="165" fontId="1" fillId="3" borderId="0" xfId="0" applyFont="1" applyFill="1" applyBorder="1"/>
    <xf numFmtId="4" fontId="1" fillId="3" borderId="1" xfId="0" applyNumberFormat="1" applyFont="1" applyFill="1" applyBorder="1"/>
    <xf numFmtId="165" fontId="7" fillId="3" borderId="0" xfId="0" applyFont="1" applyFill="1" applyBorder="1"/>
    <xf numFmtId="165" fontId="8" fillId="0" borderId="0" xfId="0" applyFont="1"/>
    <xf numFmtId="165" fontId="8" fillId="3" borderId="0" xfId="0" applyFont="1" applyFill="1"/>
    <xf numFmtId="164" fontId="10" fillId="2" borderId="26" xfId="0" applyNumberFormat="1" applyFont="1" applyFill="1" applyBorder="1" applyAlignment="1">
      <alignment horizontal="right"/>
    </xf>
    <xf numFmtId="165" fontId="8" fillId="0" borderId="10" xfId="0" applyFont="1" applyBorder="1"/>
    <xf numFmtId="165" fontId="8" fillId="0" borderId="0" xfId="0" applyFont="1" applyBorder="1" applyAlignment="1">
      <alignment horizontal="right"/>
    </xf>
    <xf numFmtId="2" fontId="8" fillId="0" borderId="0" xfId="0" applyNumberFormat="1" applyFont="1" applyBorder="1"/>
    <xf numFmtId="165" fontId="8" fillId="0" borderId="0" xfId="0" applyFont="1" applyBorder="1"/>
    <xf numFmtId="165" fontId="8" fillId="3" borderId="0" xfId="0" applyFont="1" applyFill="1" applyBorder="1"/>
    <xf numFmtId="165" fontId="9" fillId="0" borderId="0" xfId="0" applyFont="1" applyBorder="1" applyAlignment="1">
      <alignment horizontal="center"/>
    </xf>
    <xf numFmtId="165" fontId="9" fillId="3" borderId="0" xfId="0" applyFont="1" applyFill="1" applyBorder="1" applyAlignment="1">
      <alignment horizontal="center"/>
    </xf>
    <xf numFmtId="165" fontId="3" fillId="4" borderId="7" xfId="0" applyFont="1" applyFill="1" applyBorder="1" applyAlignment="1">
      <alignment horizontal="right"/>
    </xf>
    <xf numFmtId="2" fontId="3" fillId="4" borderId="7" xfId="0" applyNumberFormat="1" applyFont="1" applyFill="1" applyBorder="1" applyAlignment="1">
      <alignment horizontal="center"/>
    </xf>
    <xf numFmtId="165" fontId="3" fillId="4" borderId="7" xfId="0" applyFont="1" applyFill="1" applyBorder="1" applyAlignment="1">
      <alignment horizontal="center"/>
    </xf>
    <xf numFmtId="165" fontId="3" fillId="4" borderId="2" xfId="0" applyFont="1" applyFill="1" applyBorder="1" applyAlignment="1">
      <alignment horizontal="center"/>
    </xf>
    <xf numFmtId="165" fontId="3" fillId="4" borderId="2" xfId="0" applyFont="1" applyFill="1" applyBorder="1" applyAlignment="1">
      <alignment horizontal="center" wrapText="1"/>
    </xf>
    <xf numFmtId="165" fontId="3" fillId="3" borderId="0" xfId="0" applyFont="1" applyFill="1" applyBorder="1" applyAlignment="1">
      <alignment horizontal="center"/>
    </xf>
    <xf numFmtId="1" fontId="3" fillId="4" borderId="37" xfId="0" applyNumberFormat="1" applyFont="1" applyFill="1" applyBorder="1" applyAlignment="1">
      <alignment horizontal="center" wrapText="1"/>
    </xf>
    <xf numFmtId="165" fontId="3" fillId="4" borderId="3" xfId="0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center"/>
    </xf>
    <xf numFmtId="165" fontId="3" fillId="4" borderId="3" xfId="0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4" fontId="3" fillId="4" borderId="23" xfId="0" applyNumberFormat="1" applyFont="1" applyFill="1" applyBorder="1" applyAlignment="1">
      <alignment horizontal="center"/>
    </xf>
    <xf numFmtId="165" fontId="11" fillId="2" borderId="22" xfId="0" applyFont="1" applyFill="1" applyBorder="1"/>
    <xf numFmtId="165" fontId="11" fillId="2" borderId="18" xfId="0" applyFont="1" applyFill="1" applyBorder="1" applyAlignment="1">
      <alignment horizontal="right"/>
    </xf>
    <xf numFmtId="2" fontId="11" fillId="2" borderId="18" xfId="0" applyNumberFormat="1" applyFont="1" applyFill="1" applyBorder="1"/>
    <xf numFmtId="165" fontId="12" fillId="2" borderId="18" xfId="0" applyFont="1" applyFill="1" applyBorder="1"/>
    <xf numFmtId="164" fontId="10" fillId="3" borderId="0" xfId="0" applyNumberFormat="1" applyFont="1" applyFill="1" applyBorder="1" applyAlignment="1">
      <alignment horizontal="right"/>
    </xf>
    <xf numFmtId="165" fontId="12" fillId="2" borderId="11" xfId="0" applyFont="1" applyFill="1" applyBorder="1"/>
    <xf numFmtId="165" fontId="12" fillId="2" borderId="12" xfId="0" applyFont="1" applyFill="1" applyBorder="1"/>
    <xf numFmtId="1" fontId="12" fillId="2" borderId="12" xfId="0" applyNumberFormat="1" applyFont="1" applyFill="1" applyBorder="1" applyAlignment="1">
      <alignment horizontal="right"/>
    </xf>
    <xf numFmtId="1" fontId="12" fillId="2" borderId="12" xfId="0" applyNumberFormat="1" applyFont="1" applyFill="1" applyBorder="1"/>
    <xf numFmtId="164" fontId="12" fillId="2" borderId="17" xfId="0" applyNumberFormat="1" applyFont="1" applyFill="1" applyBorder="1" applyAlignment="1">
      <alignment horizontal="right"/>
    </xf>
    <xf numFmtId="164" fontId="12" fillId="2" borderId="25" xfId="0" applyNumberFormat="1" applyFont="1" applyFill="1" applyBorder="1" applyAlignment="1">
      <alignment horizontal="right"/>
    </xf>
    <xf numFmtId="164" fontId="12" fillId="3" borderId="0" xfId="0" applyNumberFormat="1" applyFont="1" applyFill="1" applyBorder="1" applyAlignment="1">
      <alignment horizontal="right"/>
    </xf>
    <xf numFmtId="165" fontId="1" fillId="0" borderId="8" xfId="0" applyFont="1" applyBorder="1"/>
    <xf numFmtId="1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11" fillId="0" borderId="1" xfId="0" applyNumberFormat="1" applyFont="1" applyBorder="1"/>
    <xf numFmtId="165" fontId="11" fillId="0" borderId="1" xfId="0" applyFont="1" applyBorder="1"/>
    <xf numFmtId="164" fontId="11" fillId="3" borderId="15" xfId="0" applyNumberFormat="1" applyFont="1" applyFill="1" applyBorder="1" applyAlignment="1">
      <alignment horizontal="right"/>
    </xf>
    <xf numFmtId="164" fontId="11" fillId="3" borderId="24" xfId="0" applyNumberFormat="1" applyFont="1" applyFill="1" applyBorder="1" applyAlignment="1">
      <alignment horizontal="right"/>
    </xf>
    <xf numFmtId="44" fontId="11" fillId="3" borderId="24" xfId="1" applyFont="1" applyFill="1" applyBorder="1" applyAlignment="1">
      <alignment horizontal="right"/>
    </xf>
    <xf numFmtId="164" fontId="11" fillId="3" borderId="0" xfId="0" applyNumberFormat="1" applyFont="1" applyFill="1" applyBorder="1" applyAlignment="1">
      <alignment horizontal="right"/>
    </xf>
    <xf numFmtId="1" fontId="11" fillId="0" borderId="1" xfId="0" applyNumberFormat="1" applyFont="1" applyFill="1" applyBorder="1"/>
    <xf numFmtId="1" fontId="12" fillId="2" borderId="1" xfId="0" applyNumberFormat="1" applyFont="1" applyFill="1" applyBorder="1"/>
    <xf numFmtId="165" fontId="12" fillId="2" borderId="1" xfId="0" applyFont="1" applyFill="1" applyBorder="1"/>
    <xf numFmtId="164" fontId="12" fillId="2" borderId="15" xfId="0" applyNumberFormat="1" applyFont="1" applyFill="1" applyBorder="1" applyAlignment="1">
      <alignment horizontal="right"/>
    </xf>
    <xf numFmtId="164" fontId="12" fillId="2" borderId="24" xfId="0" applyNumberFormat="1" applyFont="1" applyFill="1" applyBorder="1" applyAlignment="1">
      <alignment horizontal="right"/>
    </xf>
    <xf numFmtId="165" fontId="1" fillId="3" borderId="8" xfId="0" applyFont="1" applyFill="1" applyBorder="1"/>
    <xf numFmtId="16" fontId="1" fillId="3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/>
    <xf numFmtId="164" fontId="11" fillId="0" borderId="1" xfId="0" applyNumberFormat="1" applyFont="1" applyFill="1" applyBorder="1" applyAlignment="1">
      <alignment horizontal="right"/>
    </xf>
    <xf numFmtId="164" fontId="11" fillId="0" borderId="32" xfId="0" applyNumberFormat="1" applyFont="1" applyFill="1" applyBorder="1" applyAlignment="1">
      <alignment horizontal="right"/>
    </xf>
    <xf numFmtId="44" fontId="11" fillId="3" borderId="15" xfId="1" applyFont="1" applyFill="1" applyBorder="1" applyAlignment="1">
      <alignment horizontal="right"/>
    </xf>
    <xf numFmtId="165" fontId="8" fillId="0" borderId="8" xfId="0" applyFont="1" applyBorder="1"/>
    <xf numFmtId="1" fontId="12" fillId="2" borderId="1" xfId="0" applyNumberFormat="1" applyFont="1" applyFill="1" applyBorder="1" applyAlignment="1">
      <alignment horizontal="right"/>
    </xf>
    <xf numFmtId="44" fontId="12" fillId="2" borderId="15" xfId="1" applyFont="1" applyFill="1" applyBorder="1" applyAlignment="1">
      <alignment horizontal="right"/>
    </xf>
    <xf numFmtId="165" fontId="1" fillId="0" borderId="1" xfId="0" applyFont="1" applyBorder="1" applyAlignment="1">
      <alignment horizontal="right"/>
    </xf>
    <xf numFmtId="165" fontId="11" fillId="0" borderId="1" xfId="0" applyFont="1" applyFill="1" applyBorder="1"/>
    <xf numFmtId="164" fontId="11" fillId="0" borderId="15" xfId="0" applyNumberFormat="1" applyFont="1" applyFill="1" applyBorder="1" applyAlignment="1">
      <alignment horizontal="right"/>
    </xf>
    <xf numFmtId="164" fontId="11" fillId="0" borderId="24" xfId="0" applyNumberFormat="1" applyFont="1" applyFill="1" applyBorder="1" applyAlignment="1">
      <alignment horizontal="right"/>
    </xf>
    <xf numFmtId="165" fontId="8" fillId="6" borderId="33" xfId="0" applyFont="1" applyFill="1" applyBorder="1"/>
    <xf numFmtId="165" fontId="8" fillId="6" borderId="39" xfId="0" applyFont="1" applyFill="1" applyBorder="1"/>
    <xf numFmtId="165" fontId="8" fillId="3" borderId="33" xfId="0" applyFont="1" applyFill="1" applyBorder="1"/>
    <xf numFmtId="165" fontId="14" fillId="3" borderId="0" xfId="0" applyFont="1" applyFill="1" applyBorder="1"/>
    <xf numFmtId="1" fontId="11" fillId="3" borderId="1" xfId="0" applyNumberFormat="1" applyFont="1" applyFill="1" applyBorder="1"/>
    <xf numFmtId="165" fontId="11" fillId="3" borderId="1" xfId="0" applyFont="1" applyFill="1" applyBorder="1"/>
    <xf numFmtId="165" fontId="15" fillId="0" borderId="0" xfId="0" applyFont="1"/>
    <xf numFmtId="165" fontId="1" fillId="0" borderId="10" xfId="0" applyFont="1" applyBorder="1"/>
    <xf numFmtId="14" fontId="1" fillId="0" borderId="1" xfId="0" applyNumberFormat="1" applyFont="1" applyBorder="1" applyAlignment="1">
      <alignment horizontal="right"/>
    </xf>
    <xf numFmtId="165" fontId="1" fillId="0" borderId="21" xfId="0" applyFont="1" applyFill="1" applyBorder="1"/>
    <xf numFmtId="165" fontId="8" fillId="0" borderId="0" xfId="0" applyFont="1" applyAlignment="1">
      <alignment horizontal="right"/>
    </xf>
    <xf numFmtId="2" fontId="8" fillId="0" borderId="0" xfId="0" applyNumberFormat="1" applyFont="1"/>
    <xf numFmtId="164" fontId="11" fillId="3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164" fontId="12" fillId="2" borderId="32" xfId="0" applyNumberFormat="1" applyFont="1" applyFill="1" applyBorder="1" applyAlignment="1">
      <alignment horizontal="right"/>
    </xf>
    <xf numFmtId="164" fontId="11" fillId="0" borderId="4" xfId="0" applyNumberFormat="1" applyFont="1" applyFill="1" applyBorder="1" applyAlignment="1">
      <alignment horizontal="right"/>
    </xf>
    <xf numFmtId="164" fontId="11" fillId="3" borderId="36" xfId="0" applyNumberFormat="1" applyFont="1" applyFill="1" applyBorder="1" applyAlignment="1">
      <alignment horizontal="right"/>
    </xf>
    <xf numFmtId="165" fontId="1" fillId="0" borderId="21" xfId="0" applyFont="1" applyBorder="1"/>
    <xf numFmtId="165" fontId="1" fillId="0" borderId="10" xfId="0" applyFont="1" applyFill="1" applyBorder="1"/>
    <xf numFmtId="14" fontId="1" fillId="0" borderId="8" xfId="0" applyNumberFormat="1" applyFont="1" applyBorder="1"/>
    <xf numFmtId="14" fontId="1" fillId="0" borderId="10" xfId="0" applyNumberFormat="1" applyFont="1" applyBorder="1"/>
    <xf numFmtId="16" fontId="1" fillId="0" borderId="12" xfId="0" applyNumberFormat="1" applyFont="1" applyBorder="1" applyAlignment="1">
      <alignment horizontal="right"/>
    </xf>
    <xf numFmtId="1" fontId="1" fillId="0" borderId="12" xfId="0" applyNumberFormat="1" applyFont="1" applyBorder="1"/>
    <xf numFmtId="1" fontId="11" fillId="0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65" fontId="1" fillId="3" borderId="1" xfId="0" applyFont="1" applyFill="1" applyBorder="1" applyAlignment="1">
      <alignment horizontal="right"/>
    </xf>
    <xf numFmtId="16" fontId="1" fillId="0" borderId="8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/>
    <xf numFmtId="1" fontId="1" fillId="0" borderId="12" xfId="0" applyNumberFormat="1" applyFont="1" applyFill="1" applyBorder="1"/>
    <xf numFmtId="1" fontId="11" fillId="0" borderId="12" xfId="0" applyNumberFormat="1" applyFont="1" applyFill="1" applyBorder="1"/>
    <xf numFmtId="165" fontId="11" fillId="0" borderId="12" xfId="0" applyFont="1" applyFill="1" applyBorder="1"/>
    <xf numFmtId="164" fontId="11" fillId="3" borderId="17" xfId="0" applyNumberFormat="1" applyFont="1" applyFill="1" applyBorder="1" applyAlignment="1">
      <alignment horizontal="right"/>
    </xf>
    <xf numFmtId="164" fontId="11" fillId="3" borderId="25" xfId="0" applyNumberFormat="1" applyFont="1" applyFill="1" applyBorder="1" applyAlignment="1">
      <alignment horizontal="right"/>
    </xf>
    <xf numFmtId="44" fontId="11" fillId="3" borderId="25" xfId="1" applyFont="1" applyFill="1" applyBorder="1" applyAlignment="1">
      <alignment horizontal="right"/>
    </xf>
    <xf numFmtId="4" fontId="1" fillId="5" borderId="33" xfId="0" applyNumberFormat="1" applyFont="1" applyFill="1" applyBorder="1" applyAlignment="1">
      <alignment horizontal="right"/>
    </xf>
    <xf numFmtId="1" fontId="11" fillId="0" borderId="41" xfId="0" applyNumberFormat="1" applyFont="1" applyFill="1" applyBorder="1"/>
    <xf numFmtId="164" fontId="11" fillId="3" borderId="46" xfId="0" applyNumberFormat="1" applyFont="1" applyFill="1" applyBorder="1" applyAlignment="1">
      <alignment horizontal="right"/>
    </xf>
    <xf numFmtId="164" fontId="11" fillId="3" borderId="47" xfId="0" applyNumberFormat="1" applyFont="1" applyFill="1" applyBorder="1" applyAlignment="1">
      <alignment horizontal="right"/>
    </xf>
    <xf numFmtId="44" fontId="11" fillId="3" borderId="47" xfId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165" fontId="1" fillId="0" borderId="1" xfId="0" applyFont="1" applyFill="1" applyBorder="1"/>
    <xf numFmtId="165" fontId="1" fillId="0" borderId="0" xfId="0" applyFont="1"/>
    <xf numFmtId="165" fontId="1" fillId="0" borderId="12" xfId="0" applyFont="1" applyFill="1" applyBorder="1"/>
    <xf numFmtId="165" fontId="1" fillId="0" borderId="12" xfId="0" applyFont="1" applyBorder="1"/>
    <xf numFmtId="44" fontId="1" fillId="5" borderId="33" xfId="1" applyFont="1" applyFill="1" applyBorder="1" applyAlignment="1">
      <alignment horizontal="right"/>
    </xf>
    <xf numFmtId="16" fontId="1" fillId="0" borderId="20" xfId="0" applyNumberFormat="1" applyFont="1" applyBorder="1" applyAlignment="1">
      <alignment horizontal="left"/>
    </xf>
    <xf numFmtId="16" fontId="1" fillId="0" borderId="41" xfId="0" applyNumberFormat="1" applyFont="1" applyBorder="1" applyAlignment="1">
      <alignment horizontal="right"/>
    </xf>
    <xf numFmtId="1" fontId="1" fillId="0" borderId="41" xfId="0" applyNumberFormat="1" applyFont="1" applyBorder="1"/>
    <xf numFmtId="165" fontId="11" fillId="0" borderId="41" xfId="0" applyFont="1" applyFill="1" applyBorder="1"/>
    <xf numFmtId="44" fontId="11" fillId="3" borderId="46" xfId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center"/>
    </xf>
    <xf numFmtId="16" fontId="1" fillId="0" borderId="9" xfId="0" applyNumberFormat="1" applyFont="1" applyBorder="1" applyAlignment="1">
      <alignment horizontal="left"/>
    </xf>
    <xf numFmtId="16" fontId="1" fillId="0" borderId="3" xfId="0" applyNumberFormat="1" applyFont="1" applyBorder="1" applyAlignment="1">
      <alignment horizontal="right"/>
    </xf>
    <xf numFmtId="1" fontId="1" fillId="0" borderId="3" xfId="0" applyNumberFormat="1" applyFont="1" applyBorder="1"/>
    <xf numFmtId="1" fontId="11" fillId="0" borderId="3" xfId="0" applyNumberFormat="1" applyFont="1" applyFill="1" applyBorder="1"/>
    <xf numFmtId="165" fontId="1" fillId="0" borderId="3" xfId="0" applyFont="1" applyFill="1" applyBorder="1"/>
    <xf numFmtId="164" fontId="11" fillId="3" borderId="16" xfId="0" applyNumberFormat="1" applyFont="1" applyFill="1" applyBorder="1" applyAlignment="1">
      <alignment horizontal="right"/>
    </xf>
    <xf numFmtId="44" fontId="11" fillId="3" borderId="16" xfId="1" applyFont="1" applyFill="1" applyBorder="1" applyAlignment="1">
      <alignment horizontal="right"/>
    </xf>
    <xf numFmtId="2" fontId="16" fillId="0" borderId="0" xfId="0" applyNumberFormat="1" applyFont="1" applyFill="1" applyBorder="1"/>
    <xf numFmtId="165" fontId="16" fillId="0" borderId="0" xfId="0" applyFont="1" applyFill="1" applyBorder="1"/>
    <xf numFmtId="165" fontId="16" fillId="3" borderId="0" xfId="0" applyFont="1" applyFill="1" applyBorder="1"/>
    <xf numFmtId="165" fontId="3" fillId="4" borderId="42" xfId="0" applyFont="1" applyFill="1" applyBorder="1" applyAlignment="1">
      <alignment horizontal="center"/>
    </xf>
    <xf numFmtId="165" fontId="3" fillId="4" borderId="19" xfId="0" applyFont="1" applyFill="1" applyBorder="1" applyAlignment="1">
      <alignment horizontal="center"/>
    </xf>
    <xf numFmtId="165" fontId="3" fillId="4" borderId="5" xfId="0" applyFont="1" applyFill="1" applyBorder="1" applyAlignment="1">
      <alignment horizontal="center"/>
    </xf>
    <xf numFmtId="165" fontId="3" fillId="4" borderId="14" xfId="0" applyFont="1" applyFill="1" applyBorder="1" applyAlignment="1">
      <alignment horizontal="center" wrapText="1"/>
    </xf>
    <xf numFmtId="165" fontId="3" fillId="4" borderId="45" xfId="0" applyFont="1" applyFill="1" applyBorder="1" applyAlignment="1">
      <alignment horizontal="center"/>
    </xf>
    <xf numFmtId="165" fontId="3" fillId="4" borderId="20" xfId="0" applyFont="1" applyFill="1" applyBorder="1" applyAlignment="1">
      <alignment horizontal="center"/>
    </xf>
    <xf numFmtId="165" fontId="3" fillId="4" borderId="34" xfId="0" applyFont="1" applyFill="1" applyBorder="1" applyAlignment="1">
      <alignment horizontal="center"/>
    </xf>
    <xf numFmtId="1" fontId="3" fillId="4" borderId="35" xfId="0" applyNumberFormat="1" applyFont="1" applyFill="1" applyBorder="1" applyAlignment="1">
      <alignment horizontal="center"/>
    </xf>
    <xf numFmtId="165" fontId="8" fillId="0" borderId="40" xfId="0" applyFont="1" applyBorder="1"/>
    <xf numFmtId="165" fontId="8" fillId="0" borderId="49" xfId="0" applyFont="1" applyBorder="1" applyAlignment="1">
      <alignment horizontal="right"/>
    </xf>
    <xf numFmtId="2" fontId="11" fillId="3" borderId="41" xfId="0" applyNumberFormat="1" applyFont="1" applyFill="1" applyBorder="1"/>
    <xf numFmtId="164" fontId="10" fillId="3" borderId="41" xfId="0" applyNumberFormat="1" applyFont="1" applyFill="1" applyBorder="1" applyAlignment="1">
      <alignment horizontal="center"/>
    </xf>
    <xf numFmtId="1" fontId="1" fillId="0" borderId="8" xfId="0" applyNumberFormat="1" applyFont="1" applyBorder="1"/>
    <xf numFmtId="165" fontId="8" fillId="0" borderId="43" xfId="0" applyFont="1" applyBorder="1" applyAlignment="1">
      <alignment horizontal="right"/>
    </xf>
    <xf numFmtId="164" fontId="10" fillId="3" borderId="1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5" fontId="1" fillId="0" borderId="1" xfId="0" applyFont="1" applyBorder="1"/>
    <xf numFmtId="164" fontId="11" fillId="3" borderId="1" xfId="0" applyNumberFormat="1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right"/>
    </xf>
    <xf numFmtId="1" fontId="1" fillId="0" borderId="43" xfId="0" applyNumberFormat="1" applyFont="1" applyBorder="1" applyAlignment="1">
      <alignment horizontal="right"/>
    </xf>
    <xf numFmtId="165" fontId="17" fillId="0" borderId="20" xfId="0" applyFont="1" applyBorder="1"/>
    <xf numFmtId="165" fontId="8" fillId="0" borderId="44" xfId="0" applyFont="1" applyBorder="1" applyAlignment="1">
      <alignment horizontal="right"/>
    </xf>
    <xf numFmtId="1" fontId="1" fillId="0" borderId="9" xfId="0" applyNumberFormat="1" applyFont="1" applyBorder="1"/>
    <xf numFmtId="1" fontId="1" fillId="3" borderId="3" xfId="0" applyNumberFormat="1" applyFont="1" applyFill="1" applyBorder="1"/>
    <xf numFmtId="165" fontId="1" fillId="0" borderId="3" xfId="0" applyFont="1" applyBorder="1"/>
    <xf numFmtId="164" fontId="11" fillId="0" borderId="3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165" fontId="1" fillId="0" borderId="19" xfId="0" applyFont="1" applyBorder="1"/>
    <xf numFmtId="2" fontId="17" fillId="0" borderId="45" xfId="0" applyNumberFormat="1" applyFont="1" applyBorder="1"/>
    <xf numFmtId="2" fontId="17" fillId="0" borderId="19" xfId="0" applyNumberFormat="1" applyFont="1" applyBorder="1"/>
    <xf numFmtId="2" fontId="17" fillId="0" borderId="5" xfId="0" applyNumberFormat="1" applyFont="1" applyBorder="1"/>
    <xf numFmtId="165" fontId="3" fillId="0" borderId="5" xfId="0" applyFont="1" applyBorder="1"/>
    <xf numFmtId="164" fontId="3" fillId="0" borderId="14" xfId="0" applyNumberFormat="1" applyFont="1" applyFill="1" applyBorder="1" applyAlignment="1">
      <alignment horizontal="center"/>
    </xf>
    <xf numFmtId="4" fontId="8" fillId="3" borderId="0" xfId="0" applyNumberFormat="1" applyFont="1" applyFill="1"/>
    <xf numFmtId="164" fontId="3" fillId="3" borderId="0" xfId="0" applyNumberFormat="1" applyFont="1" applyFill="1" applyBorder="1" applyAlignment="1">
      <alignment horizontal="center"/>
    </xf>
    <xf numFmtId="165" fontId="3" fillId="4" borderId="2" xfId="0" applyFont="1" applyFill="1" applyBorder="1" applyAlignment="1">
      <alignment horizontal="center" vertical="center" wrapText="1"/>
    </xf>
    <xf numFmtId="165" fontId="3" fillId="4" borderId="3" xfId="0" applyFont="1" applyFill="1" applyBorder="1" applyAlignment="1">
      <alignment horizontal="center" vertical="center"/>
    </xf>
    <xf numFmtId="44" fontId="12" fillId="2" borderId="25" xfId="1" applyFont="1" applyFill="1" applyBorder="1" applyAlignment="1">
      <alignment horizontal="right"/>
    </xf>
    <xf numFmtId="44" fontId="11" fillId="3" borderId="36" xfId="1" applyFont="1" applyFill="1" applyBorder="1" applyAlignment="1">
      <alignment horizontal="right"/>
    </xf>
    <xf numFmtId="44" fontId="12" fillId="2" borderId="50" xfId="1" applyFont="1" applyFill="1" applyBorder="1" applyAlignment="1">
      <alignment horizontal="right"/>
    </xf>
    <xf numFmtId="164" fontId="11" fillId="3" borderId="41" xfId="0" applyNumberFormat="1" applyFont="1" applyFill="1" applyBorder="1" applyAlignment="1">
      <alignment horizontal="center"/>
    </xf>
    <xf numFmtId="164" fontId="11" fillId="3" borderId="24" xfId="1" applyNumberFormat="1" applyFont="1" applyFill="1" applyBorder="1" applyAlignment="1">
      <alignment horizontal="right"/>
    </xf>
    <xf numFmtId="2" fontId="11" fillId="3" borderId="24" xfId="1" applyNumberFormat="1" applyFont="1" applyFill="1" applyBorder="1" applyAlignment="1">
      <alignment horizontal="right"/>
    </xf>
    <xf numFmtId="164" fontId="11" fillId="3" borderId="36" xfId="1" applyNumberFormat="1" applyFont="1" applyFill="1" applyBorder="1" applyAlignment="1">
      <alignment horizontal="right"/>
    </xf>
    <xf numFmtId="164" fontId="12" fillId="2" borderId="25" xfId="1" applyNumberFormat="1" applyFont="1" applyFill="1" applyBorder="1" applyAlignment="1">
      <alignment horizontal="right"/>
    </xf>
    <xf numFmtId="165" fontId="9" fillId="0" borderId="0" xfId="0" applyFont="1" applyBorder="1" applyAlignment="1">
      <alignment horizontal="left"/>
    </xf>
    <xf numFmtId="1" fontId="1" fillId="0" borderId="40" xfId="0" applyNumberFormat="1" applyFont="1" applyBorder="1"/>
    <xf numFmtId="165" fontId="14" fillId="0" borderId="0" xfId="0" applyFont="1"/>
    <xf numFmtId="44" fontId="11" fillId="0" borderId="24" xfId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/>
    <xf numFmtId="9" fontId="8" fillId="0" borderId="0" xfId="2" applyFont="1"/>
    <xf numFmtId="9" fontId="8" fillId="3" borderId="0" xfId="2" applyFont="1" applyFill="1"/>
    <xf numFmtId="165" fontId="8" fillId="0" borderId="0" xfId="0" applyFont="1" applyFill="1"/>
    <xf numFmtId="166" fontId="8" fillId="0" borderId="0" xfId="0" applyNumberFormat="1" applyFont="1" applyFill="1"/>
    <xf numFmtId="4" fontId="2" fillId="0" borderId="31" xfId="0" applyNumberFormat="1" applyFont="1" applyFill="1" applyBorder="1"/>
    <xf numFmtId="165" fontId="1" fillId="0" borderId="24" xfId="0" applyFont="1" applyFill="1" applyBorder="1"/>
    <xf numFmtId="4" fontId="2" fillId="0" borderId="48" xfId="0" applyNumberFormat="1" applyFont="1" applyFill="1" applyBorder="1"/>
    <xf numFmtId="4" fontId="1" fillId="0" borderId="25" xfId="0" applyNumberFormat="1" applyFont="1" applyFill="1" applyBorder="1"/>
    <xf numFmtId="4" fontId="1" fillId="0" borderId="27" xfId="0" applyNumberFormat="1" applyFont="1" applyFill="1" applyBorder="1"/>
    <xf numFmtId="164" fontId="11" fillId="0" borderId="41" xfId="0" applyNumberFormat="1" applyFont="1" applyFill="1" applyBorder="1" applyAlignment="1">
      <alignment horizontal="center"/>
    </xf>
    <xf numFmtId="165" fontId="9" fillId="0" borderId="0" xfId="0" applyFont="1" applyBorder="1" applyAlignment="1">
      <alignment horizontal="left"/>
    </xf>
    <xf numFmtId="165" fontId="9" fillId="0" borderId="10" xfId="0" applyFont="1" applyBorder="1" applyAlignment="1">
      <alignment horizontal="left"/>
    </xf>
    <xf numFmtId="165" fontId="9" fillId="0" borderId="0" xfId="0" applyFont="1" applyBorder="1" applyAlignment="1">
      <alignment horizontal="left"/>
    </xf>
    <xf numFmtId="1" fontId="3" fillId="4" borderId="38" xfId="0" applyNumberFormat="1" applyFont="1" applyFill="1" applyBorder="1" applyAlignment="1">
      <alignment horizontal="center"/>
    </xf>
    <xf numFmtId="165" fontId="3" fillId="4" borderId="5" xfId="0" applyFont="1" applyFill="1" applyBorder="1" applyAlignment="1">
      <alignment horizontal="center" wrapText="1"/>
    </xf>
    <xf numFmtId="165" fontId="3" fillId="4" borderId="14" xfId="0" applyFont="1" applyFill="1" applyBorder="1" applyAlignment="1">
      <alignment horizontal="center"/>
    </xf>
    <xf numFmtId="165" fontId="3" fillId="4" borderId="2" xfId="0" applyNumberFormat="1" applyFont="1" applyFill="1" applyBorder="1" applyAlignment="1">
      <alignment horizontal="center" wrapText="1"/>
    </xf>
    <xf numFmtId="165" fontId="10" fillId="2" borderId="26" xfId="0" applyNumberFormat="1" applyFont="1" applyFill="1" applyBorder="1" applyAlignment="1">
      <alignment horizontal="right"/>
    </xf>
    <xf numFmtId="165" fontId="12" fillId="2" borderId="25" xfId="0" applyNumberFormat="1" applyFont="1" applyFill="1" applyBorder="1" applyAlignment="1">
      <alignment horizontal="right"/>
    </xf>
    <xf numFmtId="165" fontId="11" fillId="3" borderId="24" xfId="1" applyNumberFormat="1" applyFont="1" applyFill="1" applyBorder="1" applyAlignment="1">
      <alignment horizontal="right"/>
    </xf>
    <xf numFmtId="165" fontId="11" fillId="3" borderId="24" xfId="0" applyNumberFormat="1" applyFont="1" applyFill="1" applyBorder="1" applyAlignment="1">
      <alignment horizontal="right"/>
    </xf>
    <xf numFmtId="165" fontId="11" fillId="0" borderId="24" xfId="0" applyNumberFormat="1" applyFont="1" applyFill="1" applyBorder="1" applyAlignment="1">
      <alignment horizontal="right"/>
    </xf>
    <xf numFmtId="164" fontId="11" fillId="3" borderId="15" xfId="1" applyNumberFormat="1" applyFont="1" applyFill="1" applyBorder="1" applyAlignment="1">
      <alignment horizontal="right"/>
    </xf>
    <xf numFmtId="2" fontId="11" fillId="3" borderId="15" xfId="1" applyNumberFormat="1" applyFont="1" applyFill="1" applyBorder="1" applyAlignment="1">
      <alignment horizontal="right"/>
    </xf>
    <xf numFmtId="165" fontId="11" fillId="3" borderId="25" xfId="1" applyNumberFormat="1" applyFont="1" applyFill="1" applyBorder="1" applyAlignment="1">
      <alignment horizontal="right"/>
    </xf>
    <xf numFmtId="165" fontId="11" fillId="3" borderId="47" xfId="1" applyNumberFormat="1" applyFont="1" applyFill="1" applyBorder="1" applyAlignment="1">
      <alignment horizontal="right"/>
    </xf>
    <xf numFmtId="165" fontId="11" fillId="0" borderId="24" xfId="1" applyNumberFormat="1" applyFont="1" applyFill="1" applyBorder="1" applyAlignment="1">
      <alignment horizontal="right"/>
    </xf>
    <xf numFmtId="165" fontId="16" fillId="3" borderId="0" xfId="0" applyNumberFormat="1" applyFont="1" applyFill="1" applyBorder="1"/>
    <xf numFmtId="1" fontId="3" fillId="4" borderId="33" xfId="0" applyNumberFormat="1" applyFont="1" applyFill="1" applyBorder="1" applyAlignment="1">
      <alignment horizontal="center"/>
    </xf>
    <xf numFmtId="165" fontId="10" fillId="3" borderId="4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165" fontId="11" fillId="3" borderId="41" xfId="0" applyNumberFormat="1" applyFont="1" applyFill="1" applyBorder="1" applyAlignment="1">
      <alignment horizontal="center"/>
    </xf>
    <xf numFmtId="165" fontId="11" fillId="0" borderId="41" xfId="0" applyNumberFormat="1" applyFont="1" applyFill="1" applyBorder="1" applyAlignment="1">
      <alignment horizontal="center"/>
    </xf>
    <xf numFmtId="165" fontId="11" fillId="3" borderId="3" xfId="0" applyNumberFormat="1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/>
    </xf>
    <xf numFmtId="165" fontId="8" fillId="3" borderId="0" xfId="0" applyNumberFormat="1" applyFont="1" applyFill="1"/>
    <xf numFmtId="165" fontId="3" fillId="4" borderId="14" xfId="0" applyNumberFormat="1" applyFont="1" applyFill="1" applyBorder="1" applyAlignment="1">
      <alignment horizontal="center" wrapText="1"/>
    </xf>
    <xf numFmtId="1" fontId="8" fillId="0" borderId="0" xfId="0" applyNumberFormat="1" applyFont="1"/>
    <xf numFmtId="164" fontId="9" fillId="0" borderId="0" xfId="0" applyNumberFormat="1" applyFont="1" applyBorder="1" applyAlignment="1">
      <alignment horizontal="left"/>
    </xf>
    <xf numFmtId="1" fontId="9" fillId="0" borderId="48" xfId="0" applyNumberFormat="1" applyFont="1" applyBorder="1" applyAlignment="1">
      <alignment horizontal="center"/>
    </xf>
    <xf numFmtId="165" fontId="2" fillId="0" borderId="0" xfId="0" applyFont="1" applyFill="1" applyBorder="1"/>
    <xf numFmtId="165" fontId="14" fillId="0" borderId="0" xfId="0" applyFont="1" applyFill="1" applyBorder="1"/>
    <xf numFmtId="165" fontId="8" fillId="0" borderId="0" xfId="0" applyFont="1" applyFill="1" applyBorder="1"/>
    <xf numFmtId="165" fontId="9" fillId="0" borderId="0" xfId="0" applyFont="1" applyFill="1" applyBorder="1"/>
    <xf numFmtId="164" fontId="18" fillId="3" borderId="41" xfId="0" applyNumberFormat="1" applyFont="1" applyFill="1" applyBorder="1" applyAlignment="1">
      <alignment horizontal="center"/>
    </xf>
    <xf numFmtId="164" fontId="19" fillId="3" borderId="24" xfId="0" applyNumberFormat="1" applyFont="1" applyFill="1" applyBorder="1" applyAlignment="1">
      <alignment horizontal="right"/>
    </xf>
    <xf numFmtId="164" fontId="19" fillId="0" borderId="32" xfId="0" applyNumberFormat="1" applyFont="1" applyFill="1" applyBorder="1" applyAlignment="1">
      <alignment horizontal="right"/>
    </xf>
    <xf numFmtId="164" fontId="19" fillId="3" borderId="15" xfId="0" applyNumberFormat="1" applyFont="1" applyFill="1" applyBorder="1" applyAlignment="1">
      <alignment horizontal="right"/>
    </xf>
    <xf numFmtId="164" fontId="20" fillId="2" borderId="15" xfId="0" applyNumberFormat="1" applyFont="1" applyFill="1" applyBorder="1" applyAlignment="1">
      <alignment horizontal="right"/>
    </xf>
    <xf numFmtId="164" fontId="19" fillId="0" borderId="24" xfId="0" applyNumberFormat="1" applyFont="1" applyFill="1" applyBorder="1" applyAlignment="1">
      <alignment horizontal="right"/>
    </xf>
    <xf numFmtId="164" fontId="19" fillId="0" borderId="15" xfId="0" applyNumberFormat="1" applyFont="1" applyFill="1" applyBorder="1" applyAlignment="1">
      <alignment horizontal="right"/>
    </xf>
    <xf numFmtId="164" fontId="19" fillId="0" borderId="1" xfId="0" applyNumberFormat="1" applyFont="1" applyFill="1" applyBorder="1" applyAlignment="1">
      <alignment horizontal="right"/>
    </xf>
    <xf numFmtId="164" fontId="19" fillId="3" borderId="1" xfId="0" applyNumberFormat="1" applyFont="1" applyFill="1" applyBorder="1" applyAlignment="1">
      <alignment horizontal="right"/>
    </xf>
    <xf numFmtId="164" fontId="19" fillId="3" borderId="36" xfId="0" applyNumberFormat="1" applyFont="1" applyFill="1" applyBorder="1" applyAlignment="1">
      <alignment horizontal="right"/>
    </xf>
    <xf numFmtId="164" fontId="19" fillId="3" borderId="25" xfId="0" applyNumberFormat="1" applyFont="1" applyFill="1" applyBorder="1" applyAlignment="1">
      <alignment horizontal="right"/>
    </xf>
    <xf numFmtId="164" fontId="19" fillId="3" borderId="46" xfId="0" applyNumberFormat="1" applyFont="1" applyFill="1" applyBorder="1" applyAlignment="1">
      <alignment horizontal="right"/>
    </xf>
    <xf numFmtId="164" fontId="19" fillId="3" borderId="16" xfId="0" applyNumberFormat="1" applyFont="1" applyFill="1" applyBorder="1" applyAlignment="1">
      <alignment horizontal="right"/>
    </xf>
    <xf numFmtId="1" fontId="22" fillId="0" borderId="8" xfId="0" applyNumberFormat="1" applyFont="1" applyBorder="1"/>
    <xf numFmtId="1" fontId="21" fillId="0" borderId="1" xfId="0" applyNumberFormat="1" applyFont="1" applyBorder="1"/>
    <xf numFmtId="165" fontId="21" fillId="0" borderId="1" xfId="0" applyFont="1" applyBorder="1"/>
    <xf numFmtId="164" fontId="19" fillId="3" borderId="17" xfId="0" applyNumberFormat="1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165" fontId="13" fillId="6" borderId="29" xfId="0" applyFont="1" applyFill="1" applyBorder="1" applyAlignment="1">
      <alignment horizontal="center" vertical="center"/>
    </xf>
    <xf numFmtId="165" fontId="13" fillId="6" borderId="30" xfId="0" applyFont="1" applyFill="1" applyBorder="1" applyAlignment="1">
      <alignment horizontal="center"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3"/>
  <sheetViews>
    <sheetView tabSelected="1" zoomScale="130" zoomScaleNormal="130" workbookViewId="0">
      <selection activeCell="I3" sqref="I3"/>
    </sheetView>
  </sheetViews>
  <sheetFormatPr defaultColWidth="8.85546875" defaultRowHeight="14.25" x14ac:dyDescent="0.2"/>
  <cols>
    <col min="1" max="1" width="8.140625" style="59" customWidth="1"/>
    <col min="2" max="2" width="5.7109375" style="132" customWidth="1"/>
    <col min="3" max="3" width="5.7109375" style="133" customWidth="1"/>
    <col min="4" max="4" width="9.5703125" style="133" customWidth="1"/>
    <col min="5" max="5" width="32" style="59" customWidth="1"/>
    <col min="6" max="6" width="11.85546875" style="60" customWidth="1"/>
    <col min="7" max="7" width="12.5703125" style="60" customWidth="1"/>
    <col min="8" max="8" width="13.28515625" style="60" customWidth="1"/>
    <col min="9" max="10" width="15" style="273" customWidth="1"/>
    <col min="11" max="11" width="15" style="60" customWidth="1"/>
    <col min="12" max="12" width="14.140625" style="60" customWidth="1"/>
    <col min="13" max="13" width="11.85546875" style="60" customWidth="1"/>
    <col min="14" max="14" width="38.85546875" style="59" customWidth="1"/>
    <col min="15" max="15" width="15" style="59" customWidth="1"/>
    <col min="16" max="16" width="11.85546875" style="60" customWidth="1"/>
    <col min="17" max="18" width="11.28515625" style="240" customWidth="1"/>
    <col min="19" max="19" width="13.28515625" style="59" customWidth="1"/>
    <col min="20" max="20" width="11.28515625" style="59" customWidth="1"/>
    <col min="21" max="21" width="16.42578125" style="59" customWidth="1"/>
    <col min="22" max="22" width="15.85546875" style="238" customWidth="1"/>
    <col min="23" max="23" width="15" style="59" customWidth="1"/>
    <col min="24" max="24" width="18.140625" style="59" customWidth="1"/>
    <col min="25" max="16384" width="8.85546875" style="59"/>
  </cols>
  <sheetData>
    <row r="1" spans="1:22" ht="21.75" customHeight="1" x14ac:dyDescent="0.25">
      <c r="A1" s="299" t="s">
        <v>197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236"/>
      <c r="M1" s="58"/>
      <c r="P1" s="59"/>
      <c r="U1" s="238"/>
      <c r="V1" s="59"/>
    </row>
    <row r="2" spans="1:22" ht="21.75" customHeight="1" x14ac:dyDescent="0.25">
      <c r="A2" s="249" t="s">
        <v>48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32"/>
      <c r="M2" s="58"/>
      <c r="P2" s="59"/>
      <c r="U2" s="238"/>
      <c r="V2" s="59"/>
    </row>
    <row r="3" spans="1:22" ht="29.25" customHeight="1" thickBot="1" x14ac:dyDescent="0.3">
      <c r="A3" s="62"/>
      <c r="B3" s="63"/>
      <c r="C3" s="64"/>
      <c r="D3" s="64"/>
      <c r="E3" s="65"/>
      <c r="F3" s="67"/>
      <c r="G3" s="67"/>
      <c r="H3" s="67"/>
      <c r="I3" s="276"/>
      <c r="J3" s="276"/>
      <c r="K3" s="248"/>
      <c r="L3" s="277"/>
      <c r="M3" s="68"/>
      <c r="R3" s="241"/>
      <c r="U3" s="238"/>
      <c r="V3" s="59"/>
    </row>
    <row r="4" spans="1:22" ht="27" customHeight="1" thickBot="1" x14ac:dyDescent="0.25">
      <c r="A4" s="3" t="s">
        <v>63</v>
      </c>
      <c r="B4" s="69" t="s">
        <v>69</v>
      </c>
      <c r="C4" s="70" t="s">
        <v>65</v>
      </c>
      <c r="D4" s="70" t="s">
        <v>0</v>
      </c>
      <c r="E4" s="71" t="s">
        <v>1</v>
      </c>
      <c r="F4" s="73" t="s">
        <v>55</v>
      </c>
      <c r="G4" s="73" t="s">
        <v>55</v>
      </c>
      <c r="H4" s="73" t="s">
        <v>55</v>
      </c>
      <c r="I4" s="254" t="s">
        <v>47</v>
      </c>
      <c r="J4" s="254" t="s">
        <v>172</v>
      </c>
      <c r="K4" s="72" t="s">
        <v>55</v>
      </c>
      <c r="L4" s="74"/>
      <c r="M4" s="3" t="s">
        <v>63</v>
      </c>
      <c r="N4" s="222" t="s">
        <v>116</v>
      </c>
      <c r="O4" s="75" t="s">
        <v>55</v>
      </c>
      <c r="P4" s="75" t="s">
        <v>55</v>
      </c>
      <c r="Q4" s="75" t="s">
        <v>55</v>
      </c>
      <c r="R4" s="75" t="s">
        <v>47</v>
      </c>
      <c r="S4" s="75" t="s">
        <v>172</v>
      </c>
      <c r="T4" s="75" t="s">
        <v>55</v>
      </c>
      <c r="V4" s="59"/>
    </row>
    <row r="5" spans="1:22" ht="15" thickBot="1" x14ac:dyDescent="0.25">
      <c r="A5" s="4" t="s">
        <v>64</v>
      </c>
      <c r="B5" s="76"/>
      <c r="C5" s="77" t="s">
        <v>66</v>
      </c>
      <c r="D5" s="77" t="s">
        <v>2</v>
      </c>
      <c r="E5" s="78"/>
      <c r="F5" s="79">
        <v>2020</v>
      </c>
      <c r="G5" s="79">
        <v>2021</v>
      </c>
      <c r="H5" s="80">
        <v>2022</v>
      </c>
      <c r="I5" s="80">
        <v>2023</v>
      </c>
      <c r="J5" s="80">
        <v>2023</v>
      </c>
      <c r="K5" s="80">
        <v>2023</v>
      </c>
      <c r="L5" s="81"/>
      <c r="M5" s="4" t="s">
        <v>168</v>
      </c>
      <c r="N5" s="223" t="s">
        <v>117</v>
      </c>
      <c r="O5" s="82" t="s">
        <v>45</v>
      </c>
      <c r="P5" s="82" t="s">
        <v>94</v>
      </c>
      <c r="Q5" s="75" t="s">
        <v>153</v>
      </c>
      <c r="R5" s="80">
        <v>2023</v>
      </c>
      <c r="S5" s="80">
        <v>2023</v>
      </c>
      <c r="T5" s="80">
        <v>2023</v>
      </c>
      <c r="V5" s="59"/>
    </row>
    <row r="6" spans="1:22" ht="19.899999999999999" customHeight="1" thickBot="1" x14ac:dyDescent="0.25">
      <c r="A6" s="83"/>
      <c r="B6" s="84"/>
      <c r="C6" s="85"/>
      <c r="D6" s="85"/>
      <c r="E6" s="86" t="s">
        <v>51</v>
      </c>
      <c r="F6" s="61">
        <f t="shared" ref="F6:I6" si="0">F7+F23+F84+F171+F230+F259+F274+F385+F395+F403+F441+F39</f>
        <v>1244885.5799999998</v>
      </c>
      <c r="G6" s="61">
        <f t="shared" si="0"/>
        <v>1335064.6499999999</v>
      </c>
      <c r="H6" s="61">
        <f t="shared" si="0"/>
        <v>1316863.8900000001</v>
      </c>
      <c r="I6" s="255">
        <f t="shared" si="0"/>
        <v>1482416.8735</v>
      </c>
      <c r="J6" s="255">
        <f t="shared" ref="J6" si="1">J7+J23+J84+J171+J230+J259+J274+J385+J395+J403+J441+J39</f>
        <v>1542416.8659999999</v>
      </c>
      <c r="K6" s="61">
        <f>K7+K23+K84+K171+K230+K259+K274+K385+K395+K403+K441+K39</f>
        <v>1500687.8399999999</v>
      </c>
      <c r="L6" s="87"/>
      <c r="M6" s="301" t="s">
        <v>118</v>
      </c>
      <c r="N6" s="302"/>
      <c r="O6" s="302"/>
      <c r="P6" s="302"/>
      <c r="Q6" s="302"/>
      <c r="R6" s="302"/>
      <c r="S6" s="302"/>
      <c r="T6" s="302"/>
      <c r="U6" s="238"/>
      <c r="V6" s="59"/>
    </row>
    <row r="7" spans="1:22" ht="15" thickTop="1" x14ac:dyDescent="0.2">
      <c r="A7" s="88"/>
      <c r="B7" s="89"/>
      <c r="C7" s="90"/>
      <c r="D7" s="91">
        <v>610</v>
      </c>
      <c r="E7" s="89" t="s">
        <v>3</v>
      </c>
      <c r="F7" s="92">
        <f t="shared" ref="F7:H7" si="2">SUM(F8:F22)</f>
        <v>482777.64999999997</v>
      </c>
      <c r="G7" s="92">
        <f t="shared" si="2"/>
        <v>525363.49000000011</v>
      </c>
      <c r="H7" s="93">
        <f t="shared" si="2"/>
        <v>550258.68999999983</v>
      </c>
      <c r="I7" s="256">
        <f t="shared" ref="I7" si="3">SUM(I8:I22)</f>
        <v>678082.55999999994</v>
      </c>
      <c r="J7" s="256">
        <f t="shared" ref="J7" si="4">SUM(J8:J22)</f>
        <v>708082.56</v>
      </c>
      <c r="K7" s="93">
        <f>SUM(K8:K22)</f>
        <v>654760.52999999991</v>
      </c>
      <c r="L7" s="94"/>
      <c r="M7" s="5" t="s">
        <v>38</v>
      </c>
      <c r="N7" s="6" t="s">
        <v>119</v>
      </c>
      <c r="O7" s="31">
        <f t="shared" ref="O7:R7" si="5">SUM(O8:O10)</f>
        <v>9914.59</v>
      </c>
      <c r="P7" s="31">
        <f t="shared" si="5"/>
        <v>9914.59</v>
      </c>
      <c r="Q7" s="242">
        <f t="shared" ref="Q7" si="6">SUM(Q8:Q10)</f>
        <v>9915</v>
      </c>
      <c r="R7" s="242">
        <f t="shared" si="5"/>
        <v>11402.25</v>
      </c>
      <c r="S7" s="242">
        <f t="shared" ref="S7" si="7">SUM(S8:S10)</f>
        <v>11402.25</v>
      </c>
      <c r="T7" s="242">
        <f t="shared" ref="T7" si="8">SUM(T8:T10)</f>
        <v>11402.25</v>
      </c>
      <c r="V7" s="59"/>
    </row>
    <row r="8" spans="1:22" ht="15" customHeight="1" x14ac:dyDescent="0.2">
      <c r="A8" s="95" t="s">
        <v>38</v>
      </c>
      <c r="B8" s="96">
        <v>43224</v>
      </c>
      <c r="C8" s="97">
        <v>41</v>
      </c>
      <c r="D8" s="98">
        <v>611</v>
      </c>
      <c r="E8" s="99" t="s">
        <v>4</v>
      </c>
      <c r="F8" s="100">
        <v>6961.88</v>
      </c>
      <c r="G8" s="285">
        <v>6387.74</v>
      </c>
      <c r="H8" s="283">
        <v>6655</v>
      </c>
      <c r="I8" s="257">
        <f>7653.25-352.42</f>
        <v>7300.83</v>
      </c>
      <c r="J8" s="257">
        <v>7300.83</v>
      </c>
      <c r="K8" s="228">
        <v>7379.28</v>
      </c>
      <c r="L8" s="103"/>
      <c r="M8" s="7"/>
      <c r="N8" s="8" t="s">
        <v>120</v>
      </c>
      <c r="O8" s="25">
        <v>750</v>
      </c>
      <c r="P8" s="39">
        <f>750</f>
        <v>750</v>
      </c>
      <c r="Q8" s="27">
        <v>750</v>
      </c>
      <c r="R8" s="27">
        <f>750*1.15</f>
        <v>862.49999999999989</v>
      </c>
      <c r="S8" s="27">
        <f>750*1.15</f>
        <v>862.49999999999989</v>
      </c>
      <c r="T8" s="27">
        <f>750*1.15</f>
        <v>862.49999999999989</v>
      </c>
      <c r="V8" s="59"/>
    </row>
    <row r="9" spans="1:22" ht="15" customHeight="1" x14ac:dyDescent="0.2">
      <c r="A9" s="95" t="s">
        <v>38</v>
      </c>
      <c r="B9" s="96">
        <v>43224</v>
      </c>
      <c r="C9" s="97">
        <v>42</v>
      </c>
      <c r="D9" s="98">
        <v>611</v>
      </c>
      <c r="E9" s="99" t="s">
        <v>4</v>
      </c>
      <c r="F9" s="100">
        <v>0</v>
      </c>
      <c r="G9" s="285">
        <v>0</v>
      </c>
      <c r="H9" s="283" t="s">
        <v>189</v>
      </c>
      <c r="I9" s="101">
        <v>3450</v>
      </c>
      <c r="J9" s="101">
        <v>3450</v>
      </c>
      <c r="K9" s="101">
        <v>0</v>
      </c>
      <c r="L9" s="103"/>
      <c r="M9" s="7"/>
      <c r="N9" s="8" t="s">
        <v>121</v>
      </c>
      <c r="O9" s="25">
        <v>1050</v>
      </c>
      <c r="P9" s="39">
        <v>1050</v>
      </c>
      <c r="Q9" s="27">
        <v>1050</v>
      </c>
      <c r="R9" s="27">
        <f>1050*1.15</f>
        <v>1207.5</v>
      </c>
      <c r="S9" s="27">
        <f>1050*1.15</f>
        <v>1207.5</v>
      </c>
      <c r="T9" s="27">
        <f>1050*1.15</f>
        <v>1207.5</v>
      </c>
      <c r="V9" s="59"/>
    </row>
    <row r="10" spans="1:22" ht="15" customHeight="1" x14ac:dyDescent="0.2">
      <c r="A10" s="95" t="s">
        <v>38</v>
      </c>
      <c r="B10" s="96">
        <v>43589</v>
      </c>
      <c r="C10" s="97">
        <v>46</v>
      </c>
      <c r="D10" s="98">
        <v>611</v>
      </c>
      <c r="E10" s="99" t="s">
        <v>4</v>
      </c>
      <c r="F10" s="100">
        <v>3853.46</v>
      </c>
      <c r="G10" s="285">
        <v>2438.84</v>
      </c>
      <c r="H10" s="283">
        <v>1599.72</v>
      </c>
      <c r="I10" s="101">
        <v>15346.75</v>
      </c>
      <c r="J10" s="101">
        <v>15346.75</v>
      </c>
      <c r="K10" s="101">
        <v>1280.8499999999999</v>
      </c>
      <c r="L10" s="103"/>
      <c r="M10" s="7"/>
      <c r="N10" s="8" t="s">
        <v>122</v>
      </c>
      <c r="O10" s="25">
        <v>8114.59</v>
      </c>
      <c r="P10" s="39">
        <v>8114.59</v>
      </c>
      <c r="Q10" s="27">
        <v>8115</v>
      </c>
      <c r="R10" s="27">
        <f>8115*1.15</f>
        <v>9332.25</v>
      </c>
      <c r="S10" s="27">
        <f>8115*1.15</f>
        <v>9332.25</v>
      </c>
      <c r="T10" s="27">
        <f>8115*1.15</f>
        <v>9332.25</v>
      </c>
      <c r="V10" s="59"/>
    </row>
    <row r="11" spans="1:22" ht="15" customHeight="1" x14ac:dyDescent="0.2">
      <c r="A11" s="95" t="s">
        <v>40</v>
      </c>
      <c r="B11" s="96">
        <v>43354</v>
      </c>
      <c r="C11" s="97">
        <v>42</v>
      </c>
      <c r="D11" s="98">
        <v>611</v>
      </c>
      <c r="E11" s="99" t="s">
        <v>4</v>
      </c>
      <c r="F11" s="100">
        <v>0</v>
      </c>
      <c r="G11" s="285">
        <v>0</v>
      </c>
      <c r="H11" s="283"/>
      <c r="I11" s="235"/>
      <c r="J11" s="235"/>
      <c r="K11" s="235"/>
      <c r="L11" s="103"/>
      <c r="M11" s="11" t="s">
        <v>39</v>
      </c>
      <c r="N11" s="12" t="s">
        <v>123</v>
      </c>
      <c r="O11" s="32">
        <f t="shared" ref="O11:R11" si="9">SUM(O12:O17)</f>
        <v>488174.85</v>
      </c>
      <c r="P11" s="32">
        <f t="shared" si="9"/>
        <v>517594.85</v>
      </c>
      <c r="Q11" s="32">
        <f t="shared" ref="Q11" si="10">SUM(Q12:Q17)</f>
        <v>562595</v>
      </c>
      <c r="R11" s="32">
        <f t="shared" si="9"/>
        <v>631984.25</v>
      </c>
      <c r="S11" s="32">
        <f t="shared" ref="S11" si="11">SUM(S12:S17)</f>
        <v>661984.25</v>
      </c>
      <c r="T11" s="32">
        <f t="shared" ref="T11" si="12">SUM(T12:T17)</f>
        <v>661984.25</v>
      </c>
      <c r="V11" s="59"/>
    </row>
    <row r="12" spans="1:22" ht="15" customHeight="1" x14ac:dyDescent="0.2">
      <c r="A12" s="95" t="s">
        <v>41</v>
      </c>
      <c r="B12" s="96">
        <v>43166</v>
      </c>
      <c r="C12" s="97">
        <v>41</v>
      </c>
      <c r="D12" s="98">
        <v>611</v>
      </c>
      <c r="E12" s="99" t="s">
        <v>4</v>
      </c>
      <c r="F12" s="100">
        <v>73810.58</v>
      </c>
      <c r="G12" s="285">
        <v>55955.57</v>
      </c>
      <c r="H12" s="283">
        <v>70543.990000000005</v>
      </c>
      <c r="I12" s="258">
        <v>93500</v>
      </c>
      <c r="J12" s="258">
        <f>93500</f>
        <v>93500</v>
      </c>
      <c r="K12" s="101">
        <v>97667.31</v>
      </c>
      <c r="L12" s="103"/>
      <c r="M12" s="7"/>
      <c r="N12" s="8" t="s">
        <v>124</v>
      </c>
      <c r="O12" s="26">
        <v>270082</v>
      </c>
      <c r="P12" s="40">
        <v>270082</v>
      </c>
      <c r="Q12" s="243">
        <f>280000+10000</f>
        <v>290000</v>
      </c>
      <c r="R12" s="243">
        <f>((280000+10000)*1.15)-20000</f>
        <v>313500</v>
      </c>
      <c r="S12" s="243">
        <f>((280000+10000)*1.15)-20000+30000</f>
        <v>343500</v>
      </c>
      <c r="T12" s="243">
        <f>((280000+10000)*1.15)-20000+30000</f>
        <v>343500</v>
      </c>
      <c r="V12" s="59"/>
    </row>
    <row r="13" spans="1:22" ht="15" customHeight="1" x14ac:dyDescent="0.2">
      <c r="A13" s="95" t="s">
        <v>39</v>
      </c>
      <c r="B13" s="96">
        <v>43106</v>
      </c>
      <c r="C13" s="97">
        <v>41</v>
      </c>
      <c r="D13" s="104">
        <v>611</v>
      </c>
      <c r="E13" s="99" t="s">
        <v>4</v>
      </c>
      <c r="F13" s="100">
        <v>251808.58</v>
      </c>
      <c r="G13" s="285">
        <v>277431.57</v>
      </c>
      <c r="H13" s="283">
        <v>237514.22</v>
      </c>
      <c r="I13" s="258">
        <v>342837.72</v>
      </c>
      <c r="J13" s="258">
        <f>I13+30000</f>
        <v>372837.72</v>
      </c>
      <c r="K13" s="101">
        <v>334453.3</v>
      </c>
      <c r="L13" s="103"/>
      <c r="M13" s="7"/>
      <c r="N13" s="8" t="s">
        <v>125</v>
      </c>
      <c r="O13" s="25">
        <v>0</v>
      </c>
      <c r="P13" s="39">
        <v>0</v>
      </c>
      <c r="Q13" s="27">
        <v>0</v>
      </c>
      <c r="R13" s="27">
        <v>0</v>
      </c>
      <c r="S13" s="27">
        <v>0</v>
      </c>
      <c r="T13" s="27">
        <v>0</v>
      </c>
      <c r="V13" s="59"/>
    </row>
    <row r="14" spans="1:22" ht="15" customHeight="1" x14ac:dyDescent="0.2">
      <c r="A14" s="95" t="s">
        <v>39</v>
      </c>
      <c r="B14" s="96">
        <v>43106</v>
      </c>
      <c r="C14" s="97">
        <v>46</v>
      </c>
      <c r="D14" s="104">
        <v>611</v>
      </c>
      <c r="E14" s="99" t="s">
        <v>4</v>
      </c>
      <c r="F14" s="100">
        <v>16750.599999999999</v>
      </c>
      <c r="G14" s="285">
        <v>18789.57</v>
      </c>
      <c r="H14" s="283">
        <v>57248.04</v>
      </c>
      <c r="I14" s="101">
        <v>48300</v>
      </c>
      <c r="J14" s="101">
        <v>48300</v>
      </c>
      <c r="K14" s="101">
        <v>44779.37</v>
      </c>
      <c r="L14" s="103"/>
      <c r="M14" s="7"/>
      <c r="N14" s="8" t="s">
        <v>126</v>
      </c>
      <c r="O14" s="27">
        <v>112645</v>
      </c>
      <c r="P14" s="39">
        <v>117065</v>
      </c>
      <c r="Q14" s="27">
        <v>120595</v>
      </c>
      <c r="R14" s="27">
        <f>120595*1.15</f>
        <v>138684.25</v>
      </c>
      <c r="S14" s="27">
        <f>120595*1.15</f>
        <v>138684.25</v>
      </c>
      <c r="T14" s="27">
        <f>120595*1.15</f>
        <v>138684.25</v>
      </c>
      <c r="V14" s="59"/>
    </row>
    <row r="15" spans="1:22" ht="18" customHeight="1" x14ac:dyDescent="0.2">
      <c r="A15" s="95" t="s">
        <v>40</v>
      </c>
      <c r="B15" s="96">
        <v>43354</v>
      </c>
      <c r="C15" s="97">
        <v>41</v>
      </c>
      <c r="D15" s="104">
        <v>611</v>
      </c>
      <c r="E15" s="99" t="s">
        <v>4</v>
      </c>
      <c r="F15" s="100">
        <v>87452.93</v>
      </c>
      <c r="G15" s="285">
        <v>139540.04</v>
      </c>
      <c r="H15" s="283">
        <v>162757.22</v>
      </c>
      <c r="I15" s="258">
        <f>114445.89+1841.37</f>
        <v>116287.26</v>
      </c>
      <c r="J15" s="258">
        <v>116287.26</v>
      </c>
      <c r="K15" s="101">
        <v>107657.67</v>
      </c>
      <c r="L15" s="103"/>
      <c r="M15" s="7"/>
      <c r="N15" s="8" t="s">
        <v>127</v>
      </c>
      <c r="O15" s="25">
        <v>44307.85</v>
      </c>
      <c r="P15" s="39">
        <v>44307.85</v>
      </c>
      <c r="Q15" s="27">
        <v>45000</v>
      </c>
      <c r="R15" s="27">
        <f>(45000*1.15)+5000</f>
        <v>56749.999999999993</v>
      </c>
      <c r="S15" s="27">
        <f>(45000*1.15)+5000</f>
        <v>56749.999999999993</v>
      </c>
      <c r="T15" s="27">
        <f>(45000*1.15)+5000</f>
        <v>56749.999999999993</v>
      </c>
      <c r="V15" s="59"/>
    </row>
    <row r="16" spans="1:22" ht="15" customHeight="1" x14ac:dyDescent="0.2">
      <c r="A16" s="95" t="s">
        <v>42</v>
      </c>
      <c r="B16" s="96" t="s">
        <v>70</v>
      </c>
      <c r="C16" s="97">
        <v>41</v>
      </c>
      <c r="D16" s="104">
        <v>611</v>
      </c>
      <c r="E16" s="99" t="s">
        <v>4</v>
      </c>
      <c r="F16" s="100">
        <v>2092.23</v>
      </c>
      <c r="G16" s="285">
        <v>4797.9799999999996</v>
      </c>
      <c r="H16" s="283">
        <v>3985.33</v>
      </c>
      <c r="I16" s="258">
        <v>4830</v>
      </c>
      <c r="J16" s="258">
        <v>4830</v>
      </c>
      <c r="K16" s="101">
        <v>4830</v>
      </c>
      <c r="L16" s="103"/>
      <c r="M16" s="7"/>
      <c r="N16" s="38" t="s">
        <v>166</v>
      </c>
      <c r="O16" s="25"/>
      <c r="P16" s="39">
        <f>25000</f>
        <v>25000</v>
      </c>
      <c r="Q16" s="27">
        <f>35000+10000</f>
        <v>45000</v>
      </c>
      <c r="R16" s="27">
        <f>(35000+10000)*1.15</f>
        <v>51749.999999999993</v>
      </c>
      <c r="S16" s="27">
        <f>(35000+10000)*1.15</f>
        <v>51749.999999999993</v>
      </c>
      <c r="T16" s="27">
        <f>(35000+10000)*1.15</f>
        <v>51749.999999999993</v>
      </c>
      <c r="V16" s="59"/>
    </row>
    <row r="17" spans="1:22" ht="23.25" customHeight="1" x14ac:dyDescent="0.2">
      <c r="A17" s="95" t="s">
        <v>42</v>
      </c>
      <c r="B17" s="96" t="s">
        <v>70</v>
      </c>
      <c r="C17" s="97">
        <v>46</v>
      </c>
      <c r="D17" s="104">
        <v>611</v>
      </c>
      <c r="E17" s="99" t="s">
        <v>4</v>
      </c>
      <c r="F17" s="100">
        <v>2406.59</v>
      </c>
      <c r="G17" s="285"/>
      <c r="H17" s="283">
        <v>850.75</v>
      </c>
      <c r="I17" s="101">
        <v>1380</v>
      </c>
      <c r="J17" s="101">
        <v>1380</v>
      </c>
      <c r="K17" s="101">
        <v>447.45</v>
      </c>
      <c r="L17" s="103"/>
      <c r="M17" s="7"/>
      <c r="N17" s="13" t="s">
        <v>128</v>
      </c>
      <c r="O17" s="25">
        <v>61140</v>
      </c>
      <c r="P17" s="39">
        <v>61140</v>
      </c>
      <c r="Q17" s="27">
        <v>62000</v>
      </c>
      <c r="R17" s="27">
        <f>62000*1.15</f>
        <v>71300</v>
      </c>
      <c r="S17" s="27">
        <f>62000*1.15</f>
        <v>71300</v>
      </c>
      <c r="T17" s="27">
        <f>62000*1.15</f>
        <v>71300</v>
      </c>
      <c r="V17" s="59"/>
    </row>
    <row r="18" spans="1:22" ht="22.9" customHeight="1" x14ac:dyDescent="0.2">
      <c r="A18" s="95" t="s">
        <v>42</v>
      </c>
      <c r="B18" s="96" t="s">
        <v>70</v>
      </c>
      <c r="C18" s="97">
        <v>42</v>
      </c>
      <c r="D18" s="104">
        <v>611</v>
      </c>
      <c r="E18" s="99" t="s">
        <v>4</v>
      </c>
      <c r="F18" s="100"/>
      <c r="G18" s="285">
        <v>116.15</v>
      </c>
      <c r="H18" s="283"/>
      <c r="I18" s="101"/>
      <c r="J18" s="101"/>
      <c r="K18" s="101"/>
      <c r="L18" s="103"/>
      <c r="M18" s="11" t="s">
        <v>41</v>
      </c>
      <c r="N18" s="12" t="s">
        <v>129</v>
      </c>
      <c r="O18" s="32">
        <f t="shared" ref="O18:R18" si="13">SUM(O19:O23)</f>
        <v>147905.71</v>
      </c>
      <c r="P18" s="32">
        <f t="shared" si="13"/>
        <v>147905.71</v>
      </c>
      <c r="Q18" s="32">
        <f t="shared" ref="Q18" si="14">SUM(Q19:Q23)</f>
        <v>157000</v>
      </c>
      <c r="R18" s="32">
        <f t="shared" si="13"/>
        <v>185550</v>
      </c>
      <c r="S18" s="32">
        <f t="shared" ref="S18" si="15">SUM(S19:S23)</f>
        <v>215550</v>
      </c>
      <c r="T18" s="32">
        <f t="shared" ref="T18" si="16">SUM(T19:T23)</f>
        <v>185550</v>
      </c>
      <c r="V18" s="59"/>
    </row>
    <row r="19" spans="1:22" ht="15" customHeight="1" x14ac:dyDescent="0.2">
      <c r="A19" s="95" t="s">
        <v>40</v>
      </c>
      <c r="B19" s="96">
        <v>43354</v>
      </c>
      <c r="C19" s="97">
        <v>46</v>
      </c>
      <c r="D19" s="104">
        <v>611</v>
      </c>
      <c r="E19" s="99" t="s">
        <v>4</v>
      </c>
      <c r="F19" s="100">
        <v>35201.08</v>
      </c>
      <c r="G19" s="285">
        <v>15757.4</v>
      </c>
      <c r="H19" s="283">
        <v>9055.32</v>
      </c>
      <c r="I19" s="101">
        <v>41400</v>
      </c>
      <c r="J19" s="101">
        <v>41400</v>
      </c>
      <c r="K19" s="101">
        <v>48188.22</v>
      </c>
      <c r="L19" s="103"/>
      <c r="M19" s="7"/>
      <c r="N19" s="8" t="s">
        <v>130</v>
      </c>
      <c r="O19" s="25">
        <v>46385.71</v>
      </c>
      <c r="P19" s="39">
        <v>46385.71</v>
      </c>
      <c r="Q19" s="27">
        <f>45000+7000</f>
        <v>52000</v>
      </c>
      <c r="R19" s="27">
        <f>(45000+7000)*1.15</f>
        <v>59799.999999999993</v>
      </c>
      <c r="S19" s="27">
        <f>(45000+7000)*1.15+30000</f>
        <v>89800</v>
      </c>
      <c r="T19" s="27">
        <f>(45000+7000)*1.15</f>
        <v>59799.999999999993</v>
      </c>
      <c r="V19" s="59"/>
    </row>
    <row r="20" spans="1:22" ht="15" customHeight="1" x14ac:dyDescent="0.2">
      <c r="A20" s="95" t="s">
        <v>41</v>
      </c>
      <c r="B20" s="96">
        <v>43166</v>
      </c>
      <c r="C20" s="97">
        <v>42</v>
      </c>
      <c r="D20" s="104">
        <v>611</v>
      </c>
      <c r="E20" s="99" t="s">
        <v>4</v>
      </c>
      <c r="F20" s="100">
        <v>0</v>
      </c>
      <c r="G20" s="285">
        <v>2225.29</v>
      </c>
      <c r="H20" s="283">
        <v>0</v>
      </c>
      <c r="I20" s="101"/>
      <c r="J20" s="101"/>
      <c r="K20" s="101"/>
      <c r="L20" s="103"/>
      <c r="M20" s="7"/>
      <c r="N20" s="8" t="s">
        <v>131</v>
      </c>
      <c r="O20" s="25">
        <v>24520</v>
      </c>
      <c r="P20" s="39">
        <v>24520</v>
      </c>
      <c r="Q20" s="27">
        <v>27000</v>
      </c>
      <c r="R20" s="27">
        <f>27000*1.15</f>
        <v>31049.999999999996</v>
      </c>
      <c r="S20" s="27">
        <f>27000*1.15</f>
        <v>31049.999999999996</v>
      </c>
      <c r="T20" s="27">
        <f>27000*1.15</f>
        <v>31049.999999999996</v>
      </c>
      <c r="V20" s="59"/>
    </row>
    <row r="21" spans="1:22" ht="15" customHeight="1" x14ac:dyDescent="0.2">
      <c r="A21" s="95" t="s">
        <v>41</v>
      </c>
      <c r="B21" s="96">
        <v>43531</v>
      </c>
      <c r="C21" s="97">
        <v>46</v>
      </c>
      <c r="D21" s="104">
        <v>611</v>
      </c>
      <c r="E21" s="99" t="s">
        <v>4</v>
      </c>
      <c r="F21" s="100">
        <v>2439.7199999999998</v>
      </c>
      <c r="G21" s="285">
        <v>1923.34</v>
      </c>
      <c r="H21" s="283">
        <v>49.1</v>
      </c>
      <c r="I21" s="101">
        <v>3450</v>
      </c>
      <c r="J21" s="101">
        <v>3450</v>
      </c>
      <c r="K21" s="101">
        <v>8077.08</v>
      </c>
      <c r="L21" s="103"/>
      <c r="M21" s="7"/>
      <c r="N21" s="8" t="s">
        <v>132</v>
      </c>
      <c r="O21" s="25">
        <v>28000</v>
      </c>
      <c r="P21" s="39">
        <v>28000</v>
      </c>
      <c r="Q21" s="27">
        <v>28000</v>
      </c>
      <c r="R21" s="27">
        <f>28000*1.15</f>
        <v>32199.999999999996</v>
      </c>
      <c r="S21" s="27">
        <f>28000*1.15</f>
        <v>32199.999999999996</v>
      </c>
      <c r="T21" s="27">
        <f>28000*1.15</f>
        <v>32199.999999999996</v>
      </c>
      <c r="V21" s="59"/>
    </row>
    <row r="22" spans="1:22" ht="15" customHeight="1" x14ac:dyDescent="0.2">
      <c r="A22" s="95" t="s">
        <v>39</v>
      </c>
      <c r="B22" s="96">
        <v>43106</v>
      </c>
      <c r="C22" s="97">
        <v>42</v>
      </c>
      <c r="D22" s="104">
        <v>611</v>
      </c>
      <c r="E22" s="99" t="s">
        <v>4</v>
      </c>
      <c r="F22" s="100">
        <v>0</v>
      </c>
      <c r="G22" s="285">
        <v>0</v>
      </c>
      <c r="H22" s="283">
        <v>0</v>
      </c>
      <c r="I22" s="101">
        <v>0</v>
      </c>
      <c r="J22" s="101">
        <v>0</v>
      </c>
      <c r="K22" s="101"/>
      <c r="L22" s="103"/>
      <c r="M22" s="7"/>
      <c r="N22" s="14" t="s">
        <v>133</v>
      </c>
      <c r="O22" s="25">
        <v>9000</v>
      </c>
      <c r="P22" s="39">
        <v>9000</v>
      </c>
      <c r="Q22" s="27">
        <v>10000</v>
      </c>
      <c r="R22" s="27">
        <f>10000*1.15</f>
        <v>11500</v>
      </c>
      <c r="S22" s="27">
        <f>10000*1.15</f>
        <v>11500</v>
      </c>
      <c r="T22" s="27">
        <f>10000*1.15</f>
        <v>11500</v>
      </c>
      <c r="V22" s="59"/>
    </row>
    <row r="23" spans="1:22" x14ac:dyDescent="0.2">
      <c r="A23" s="88"/>
      <c r="B23" s="89"/>
      <c r="C23" s="90"/>
      <c r="D23" s="105">
        <v>620</v>
      </c>
      <c r="E23" s="106" t="s">
        <v>5</v>
      </c>
      <c r="F23" s="107">
        <f t="shared" ref="F23:H23" si="17">F24</f>
        <v>262749.27</v>
      </c>
      <c r="G23" s="107">
        <f>G24</f>
        <v>272531.00999999995</v>
      </c>
      <c r="H23" s="108">
        <f t="shared" si="17"/>
        <v>304613.19</v>
      </c>
      <c r="I23" s="108">
        <f>I24</f>
        <v>273522.89999999997</v>
      </c>
      <c r="J23" s="108">
        <f>J24</f>
        <v>273522.89999999997</v>
      </c>
      <c r="K23" s="108">
        <f>K24</f>
        <v>294015.96999999997</v>
      </c>
      <c r="L23" s="103"/>
      <c r="M23" s="7"/>
      <c r="N23" s="14" t="s">
        <v>134</v>
      </c>
      <c r="O23" s="27">
        <v>40000</v>
      </c>
      <c r="P23" s="39">
        <v>40000</v>
      </c>
      <c r="Q23" s="27">
        <v>40000</v>
      </c>
      <c r="R23" s="27">
        <f>(40000*1.15)+5000</f>
        <v>51000</v>
      </c>
      <c r="S23" s="27">
        <f>(40000*1.15)+5000</f>
        <v>51000</v>
      </c>
      <c r="T23" s="27">
        <f>(40000*1.15)+5000</f>
        <v>51000</v>
      </c>
      <c r="V23" s="59"/>
    </row>
    <row r="24" spans="1:22" x14ac:dyDescent="0.2">
      <c r="A24" s="109"/>
      <c r="B24" s="110"/>
      <c r="C24" s="111"/>
      <c r="D24" s="98">
        <v>620</v>
      </c>
      <c r="E24" s="99" t="s">
        <v>5</v>
      </c>
      <c r="F24" s="112">
        <v>262749.27</v>
      </c>
      <c r="G24" s="289">
        <f>SUM(G25:G38)</f>
        <v>272531.00999999995</v>
      </c>
      <c r="H24" s="284">
        <f t="shared" ref="H24" si="18">SUM(H25:H37)</f>
        <v>304613.19</v>
      </c>
      <c r="I24" s="113">
        <f t="shared" ref="I24" si="19">SUM(I25:I38)</f>
        <v>273522.89999999997</v>
      </c>
      <c r="J24" s="113">
        <f t="shared" ref="J24" si="20">SUM(J25:J38)</f>
        <v>273522.89999999997</v>
      </c>
      <c r="K24" s="113">
        <f>SUM(K25:K38)</f>
        <v>294015.96999999997</v>
      </c>
      <c r="L24" s="94"/>
      <c r="M24" s="11" t="s">
        <v>40</v>
      </c>
      <c r="N24" s="15" t="s">
        <v>135</v>
      </c>
      <c r="O24" s="33">
        <f t="shared" ref="O24:R24" si="21">SUM(O25:O35)</f>
        <v>198096.53</v>
      </c>
      <c r="P24" s="33">
        <f t="shared" si="21"/>
        <v>225596.53</v>
      </c>
      <c r="Q24" s="32">
        <f t="shared" ref="Q24" si="22">SUM(Q25:Q35)</f>
        <v>235596</v>
      </c>
      <c r="R24" s="32">
        <f t="shared" si="21"/>
        <v>270935.40000000002</v>
      </c>
      <c r="S24" s="32">
        <f t="shared" ref="S24" si="23">SUM(S25:S35)</f>
        <v>270935.40000000002</v>
      </c>
      <c r="T24" s="32">
        <f t="shared" ref="T24" si="24">SUM(T25:T35)</f>
        <v>270935.40000000002</v>
      </c>
      <c r="V24" s="59"/>
    </row>
    <row r="25" spans="1:22" ht="15.75" customHeight="1" x14ac:dyDescent="0.2">
      <c r="A25" s="109" t="s">
        <v>40</v>
      </c>
      <c r="B25" s="110">
        <v>43354</v>
      </c>
      <c r="C25" s="111">
        <v>42</v>
      </c>
      <c r="D25" s="98">
        <v>620</v>
      </c>
      <c r="E25" s="99" t="s">
        <v>5</v>
      </c>
      <c r="F25" s="100">
        <f>F11*0.352</f>
        <v>0</v>
      </c>
      <c r="G25" s="285">
        <f>G11*0.352</f>
        <v>0</v>
      </c>
      <c r="H25" s="285"/>
      <c r="I25" s="235"/>
      <c r="J25" s="235"/>
      <c r="K25" s="235"/>
      <c r="L25" s="103"/>
      <c r="M25" s="7"/>
      <c r="N25" s="14" t="s">
        <v>147</v>
      </c>
      <c r="O25" s="25">
        <v>60411</v>
      </c>
      <c r="P25" s="39">
        <f>60411</f>
        <v>60411</v>
      </c>
      <c r="Q25" s="27">
        <f>73000+8000</f>
        <v>81000</v>
      </c>
      <c r="R25" s="27">
        <f>(73000+8000)*1.15</f>
        <v>93150</v>
      </c>
      <c r="S25" s="27">
        <f>(73000+8000)*1.15</f>
        <v>93150</v>
      </c>
      <c r="T25" s="27">
        <f>(73000+8000)*1.15</f>
        <v>93150</v>
      </c>
      <c r="V25" s="59"/>
    </row>
    <row r="26" spans="1:22" ht="15" customHeight="1" x14ac:dyDescent="0.2">
      <c r="A26" s="109" t="s">
        <v>39</v>
      </c>
      <c r="B26" s="110">
        <v>43106</v>
      </c>
      <c r="C26" s="111">
        <v>46</v>
      </c>
      <c r="D26" s="98">
        <v>620</v>
      </c>
      <c r="E26" s="99" t="s">
        <v>5</v>
      </c>
      <c r="F26" s="100">
        <v>31867.65</v>
      </c>
      <c r="G26" s="285">
        <v>11651.6</v>
      </c>
      <c r="H26" s="285">
        <f>1620.3+1838.98+779.2+18363.49+234+2565.88+776.43+73.01+1390.01</f>
        <v>27641.3</v>
      </c>
      <c r="I26" s="102">
        <v>19551.84</v>
      </c>
      <c r="J26" s="102">
        <v>19551.84</v>
      </c>
      <c r="K26" s="102">
        <v>18096.28</v>
      </c>
      <c r="L26" s="103"/>
      <c r="M26" s="7"/>
      <c r="N26" s="14" t="s">
        <v>136</v>
      </c>
      <c r="O26" s="25">
        <v>14135.53</v>
      </c>
      <c r="P26" s="39">
        <f>14135.53</f>
        <v>14135.53</v>
      </c>
      <c r="Q26" s="27">
        <v>18000</v>
      </c>
      <c r="R26" s="27">
        <f>18000*1.15</f>
        <v>20700</v>
      </c>
      <c r="S26" s="27">
        <f>18000*1.15</f>
        <v>20700</v>
      </c>
      <c r="T26" s="27">
        <f>18000*1.15</f>
        <v>20700</v>
      </c>
      <c r="V26" s="59"/>
    </row>
    <row r="27" spans="1:22" ht="15.75" customHeight="1" x14ac:dyDescent="0.2">
      <c r="A27" s="109" t="s">
        <v>39</v>
      </c>
      <c r="B27" s="110">
        <v>43471</v>
      </c>
      <c r="C27" s="111">
        <v>42</v>
      </c>
      <c r="D27" s="98">
        <v>620</v>
      </c>
      <c r="E27" s="99" t="s">
        <v>5</v>
      </c>
      <c r="F27" s="100"/>
      <c r="G27" s="285"/>
      <c r="H27" s="283"/>
      <c r="I27" s="102"/>
      <c r="J27" s="102"/>
      <c r="K27" s="102"/>
      <c r="L27" s="103"/>
      <c r="M27" s="7"/>
      <c r="N27" s="14" t="s">
        <v>162</v>
      </c>
      <c r="O27" s="25">
        <v>0</v>
      </c>
      <c r="P27" s="39">
        <v>1000</v>
      </c>
      <c r="Q27" s="27">
        <v>3000</v>
      </c>
      <c r="R27" s="27">
        <f>3000*1.15</f>
        <v>3449.9999999999995</v>
      </c>
      <c r="S27" s="27">
        <f>3000*1.15</f>
        <v>3449.9999999999995</v>
      </c>
      <c r="T27" s="27">
        <f>3000*1.15</f>
        <v>3449.9999999999995</v>
      </c>
      <c r="V27" s="59"/>
    </row>
    <row r="28" spans="1:22" ht="15.75" customHeight="1" x14ac:dyDescent="0.2">
      <c r="A28" s="109" t="s">
        <v>38</v>
      </c>
      <c r="B28" s="110">
        <v>43224</v>
      </c>
      <c r="C28" s="111">
        <v>41</v>
      </c>
      <c r="D28" s="98">
        <v>620</v>
      </c>
      <c r="E28" s="99" t="s">
        <v>5</v>
      </c>
      <c r="F28" s="100">
        <v>6395.84</v>
      </c>
      <c r="G28" s="285">
        <v>1878.15</v>
      </c>
      <c r="H28" s="283">
        <v>0</v>
      </c>
      <c r="I28" s="258">
        <v>3098.04</v>
      </c>
      <c r="J28" s="258">
        <v>3098.04</v>
      </c>
      <c r="K28" s="101">
        <v>1568.15</v>
      </c>
      <c r="L28" s="103"/>
      <c r="M28" s="7"/>
      <c r="N28" s="14" t="s">
        <v>137</v>
      </c>
      <c r="O28" s="25">
        <v>15000</v>
      </c>
      <c r="P28" s="39">
        <v>15000</v>
      </c>
      <c r="Q28" s="27">
        <v>20000</v>
      </c>
      <c r="R28" s="27">
        <f>20000*1.15</f>
        <v>23000</v>
      </c>
      <c r="S28" s="27">
        <f>20000*1.15</f>
        <v>23000</v>
      </c>
      <c r="T28" s="27">
        <f>20000*1.15</f>
        <v>23000</v>
      </c>
      <c r="V28" s="59"/>
    </row>
    <row r="29" spans="1:22" ht="15.75" customHeight="1" x14ac:dyDescent="0.2">
      <c r="A29" s="109" t="s">
        <v>38</v>
      </c>
      <c r="B29" s="110">
        <v>43224</v>
      </c>
      <c r="C29" s="111">
        <v>42</v>
      </c>
      <c r="D29" s="98">
        <v>620</v>
      </c>
      <c r="E29" s="99" t="s">
        <v>5</v>
      </c>
      <c r="F29" s="100">
        <v>1056.22</v>
      </c>
      <c r="G29" s="285">
        <v>0</v>
      </c>
      <c r="H29" s="283">
        <v>0</v>
      </c>
      <c r="I29" s="102">
        <v>1396.56</v>
      </c>
      <c r="J29" s="102">
        <v>1396.56</v>
      </c>
      <c r="K29" s="102"/>
      <c r="L29" s="103"/>
      <c r="M29" s="7"/>
      <c r="N29" s="14" t="s">
        <v>138</v>
      </c>
      <c r="O29" s="25">
        <v>45250</v>
      </c>
      <c r="P29" s="39">
        <v>45250</v>
      </c>
      <c r="Q29" s="27">
        <v>40000</v>
      </c>
      <c r="R29" s="27">
        <f>40000*1.15</f>
        <v>46000</v>
      </c>
      <c r="S29" s="27">
        <f>40000*1.15</f>
        <v>46000</v>
      </c>
      <c r="T29" s="27">
        <f>40000*1.15</f>
        <v>46000</v>
      </c>
      <c r="V29" s="59"/>
    </row>
    <row r="30" spans="1:22" ht="15" customHeight="1" x14ac:dyDescent="0.2">
      <c r="A30" s="109" t="s">
        <v>38</v>
      </c>
      <c r="B30" s="110">
        <v>43589</v>
      </c>
      <c r="C30" s="111">
        <v>46</v>
      </c>
      <c r="D30" s="98">
        <v>620</v>
      </c>
      <c r="E30" s="99" t="s">
        <v>5</v>
      </c>
      <c r="F30" s="100">
        <v>158.57</v>
      </c>
      <c r="G30" s="285">
        <v>3985.19</v>
      </c>
      <c r="H30" s="283">
        <f>1467.32+263.46+1708.27+75.24+564.72+188.15+23.49+469.79</f>
        <v>4760.4399999999996</v>
      </c>
      <c r="I30" s="102">
        <v>6212.36</v>
      </c>
      <c r="J30" s="102">
        <v>6212.36</v>
      </c>
      <c r="K30" s="102">
        <v>2907.72</v>
      </c>
      <c r="L30" s="103"/>
      <c r="M30" s="7"/>
      <c r="N30" s="14" t="s">
        <v>139</v>
      </c>
      <c r="O30" s="25">
        <v>3000</v>
      </c>
      <c r="P30" s="39">
        <v>3000</v>
      </c>
      <c r="Q30" s="27">
        <f>5000-404</f>
        <v>4596</v>
      </c>
      <c r="R30" s="27">
        <f>(5000-404)*1.15</f>
        <v>5285.4</v>
      </c>
      <c r="S30" s="27">
        <f>(5000-404)*1.15</f>
        <v>5285.4</v>
      </c>
      <c r="T30" s="27">
        <f>(5000-404)*1.15</f>
        <v>5285.4</v>
      </c>
      <c r="V30" s="59"/>
    </row>
    <row r="31" spans="1:22" ht="15" customHeight="1" x14ac:dyDescent="0.2">
      <c r="A31" s="109" t="s">
        <v>40</v>
      </c>
      <c r="B31" s="110">
        <v>43354</v>
      </c>
      <c r="C31" s="111">
        <v>46</v>
      </c>
      <c r="D31" s="98">
        <v>620</v>
      </c>
      <c r="E31" s="99" t="s">
        <v>5</v>
      </c>
      <c r="F31" s="100">
        <v>8267.73</v>
      </c>
      <c r="G31" s="285">
        <v>10185.02</v>
      </c>
      <c r="H31" s="283">
        <f>503.77+7552.42</f>
        <v>8056.1900000000005</v>
      </c>
      <c r="I31" s="102">
        <v>17497.349999999999</v>
      </c>
      <c r="J31" s="102">
        <v>17497.349999999999</v>
      </c>
      <c r="K31" s="102">
        <v>18105.740000000002</v>
      </c>
      <c r="L31" s="103"/>
      <c r="M31" s="7"/>
      <c r="N31" s="14" t="s">
        <v>140</v>
      </c>
      <c r="O31" s="25">
        <f>47800</f>
        <v>47800</v>
      </c>
      <c r="P31" s="39">
        <f>49300+5000</f>
        <v>54300</v>
      </c>
      <c r="Q31" s="27">
        <v>50000</v>
      </c>
      <c r="R31" s="27">
        <f>50000*1.15</f>
        <v>57499.999999999993</v>
      </c>
      <c r="S31" s="27">
        <f>50000*1.15</f>
        <v>57499.999999999993</v>
      </c>
      <c r="T31" s="27">
        <f>50000*1.15</f>
        <v>57499.999999999993</v>
      </c>
      <c r="V31" s="59"/>
    </row>
    <row r="32" spans="1:22" ht="15.75" customHeight="1" x14ac:dyDescent="0.2">
      <c r="A32" s="95" t="s">
        <v>41</v>
      </c>
      <c r="B32" s="96">
        <v>43166</v>
      </c>
      <c r="C32" s="97">
        <v>41</v>
      </c>
      <c r="D32" s="98">
        <v>620</v>
      </c>
      <c r="E32" s="99" t="s">
        <v>5</v>
      </c>
      <c r="F32" s="100">
        <v>37082.07</v>
      </c>
      <c r="G32" s="285">
        <v>44714.12</v>
      </c>
      <c r="H32" s="283">
        <f>11556.39+4592.87+2748.07+19020.86+839.19+6362.53+2003.47+261.14+4967.77</f>
        <v>52352.290000000008</v>
      </c>
      <c r="I32" s="257">
        <v>40451.42</v>
      </c>
      <c r="J32" s="258">
        <v>40451.42</v>
      </c>
      <c r="K32" s="102">
        <v>46655.29</v>
      </c>
      <c r="L32" s="103"/>
      <c r="M32" s="7"/>
      <c r="N32" s="14" t="s">
        <v>148</v>
      </c>
      <c r="O32" s="27">
        <v>0</v>
      </c>
      <c r="P32" s="39">
        <v>0</v>
      </c>
      <c r="Q32" s="27">
        <v>11000</v>
      </c>
      <c r="R32" s="27">
        <f>11000*1.15</f>
        <v>12649.999999999998</v>
      </c>
      <c r="S32" s="27">
        <f>11000*1.15</f>
        <v>12649.999999999998</v>
      </c>
      <c r="T32" s="27">
        <f>11000*1.15</f>
        <v>12649.999999999998</v>
      </c>
      <c r="V32" s="59"/>
    </row>
    <row r="33" spans="1:22" ht="15.75" customHeight="1" x14ac:dyDescent="0.2">
      <c r="A33" s="95" t="s">
        <v>42</v>
      </c>
      <c r="B33" s="96" t="s">
        <v>70</v>
      </c>
      <c r="C33" s="97">
        <v>41</v>
      </c>
      <c r="D33" s="98">
        <v>620</v>
      </c>
      <c r="E33" s="99" t="s">
        <v>5</v>
      </c>
      <c r="F33" s="100"/>
      <c r="G33" s="285">
        <v>0</v>
      </c>
      <c r="H33" s="283"/>
      <c r="I33" s="257">
        <f>(I11*0.352)*1.15</f>
        <v>0</v>
      </c>
      <c r="J33" s="257">
        <f>(J11*0.352)*1.15</f>
        <v>0</v>
      </c>
      <c r="K33" s="102"/>
      <c r="L33" s="103"/>
      <c r="M33" s="7"/>
      <c r="N33" s="14"/>
      <c r="O33" s="27"/>
      <c r="P33" s="39"/>
      <c r="Q33" s="27"/>
      <c r="R33" s="27"/>
      <c r="S33" s="27"/>
      <c r="T33" s="27"/>
      <c r="V33" s="59"/>
    </row>
    <row r="34" spans="1:22" ht="15" customHeight="1" x14ac:dyDescent="0.2">
      <c r="A34" s="95" t="s">
        <v>41</v>
      </c>
      <c r="B34" s="96">
        <v>43531</v>
      </c>
      <c r="C34" s="97">
        <v>46</v>
      </c>
      <c r="D34" s="98">
        <v>620</v>
      </c>
      <c r="E34" s="99" t="s">
        <v>5</v>
      </c>
      <c r="F34" s="100">
        <v>2301.54</v>
      </c>
      <c r="G34" s="285"/>
      <c r="H34" s="283">
        <f>33328.05+5845.94+7348.3+40647.6+2097.53+14817.06+5023.84+651.8+12401.9</f>
        <v>122162.02</v>
      </c>
      <c r="I34" s="102">
        <v>1396.56</v>
      </c>
      <c r="J34" s="102">
        <v>1396.56</v>
      </c>
      <c r="K34" s="102">
        <v>994.25</v>
      </c>
      <c r="L34" s="103"/>
      <c r="M34" s="7"/>
      <c r="N34" s="14" t="s">
        <v>141</v>
      </c>
      <c r="O34" s="25">
        <v>12500</v>
      </c>
      <c r="P34" s="39">
        <v>12500</v>
      </c>
      <c r="Q34" s="27">
        <v>8000</v>
      </c>
      <c r="R34" s="27">
        <f>8000*1.15</f>
        <v>9200</v>
      </c>
      <c r="S34" s="27">
        <f>8000*1.15</f>
        <v>9200</v>
      </c>
      <c r="T34" s="27">
        <f>8000*1.15</f>
        <v>9200</v>
      </c>
      <c r="V34" s="59"/>
    </row>
    <row r="35" spans="1:22" ht="15.75" customHeight="1" x14ac:dyDescent="0.2">
      <c r="A35" s="95" t="s">
        <v>39</v>
      </c>
      <c r="B35" s="96">
        <v>43106</v>
      </c>
      <c r="C35" s="97">
        <v>41</v>
      </c>
      <c r="D35" s="104">
        <v>620</v>
      </c>
      <c r="E35" s="99" t="s">
        <v>5</v>
      </c>
      <c r="F35" s="100">
        <v>111975.58</v>
      </c>
      <c r="G35" s="285">
        <v>128245.4</v>
      </c>
      <c r="H35" s="283">
        <v>12.16</v>
      </c>
      <c r="I35" s="257">
        <v>135160.6</v>
      </c>
      <c r="J35" s="257">
        <v>135160.6</v>
      </c>
      <c r="K35" s="102">
        <v>133011.34</v>
      </c>
      <c r="L35" s="103"/>
      <c r="M35" s="7"/>
      <c r="N35" s="38" t="s">
        <v>167</v>
      </c>
      <c r="O35" s="25"/>
      <c r="P35" s="39">
        <v>20000</v>
      </c>
      <c r="Q35" s="27"/>
      <c r="R35" s="27"/>
      <c r="S35" s="27"/>
      <c r="T35" s="27"/>
      <c r="V35" s="59"/>
    </row>
    <row r="36" spans="1:22" ht="15" customHeight="1" x14ac:dyDescent="0.2">
      <c r="A36" s="95" t="s">
        <v>42</v>
      </c>
      <c r="B36" s="96" t="s">
        <v>70</v>
      </c>
      <c r="C36" s="97">
        <v>46</v>
      </c>
      <c r="D36" s="104">
        <v>620</v>
      </c>
      <c r="E36" s="99" t="s">
        <v>5</v>
      </c>
      <c r="F36" s="100">
        <v>1341.54</v>
      </c>
      <c r="G36" s="285"/>
      <c r="H36" s="283">
        <f>6827.96+19163.52+4910.39+30607.41+1503.3+11207.46+3620.27+466.09+8872.97+318.79</f>
        <v>87498.16</v>
      </c>
      <c r="I36" s="102">
        <v>558.62</v>
      </c>
      <c r="J36" s="102">
        <v>558.62</v>
      </c>
      <c r="K36" s="102">
        <v>319.42</v>
      </c>
      <c r="L36" s="103"/>
      <c r="M36" s="16" t="s">
        <v>42</v>
      </c>
      <c r="N36" s="15" t="s">
        <v>142</v>
      </c>
      <c r="O36" s="33">
        <f>SUM(O37)</f>
        <v>7908.32</v>
      </c>
      <c r="P36" s="33">
        <f t="shared" ref="P36:T36" si="25">SUM(P37)</f>
        <v>7908.32</v>
      </c>
      <c r="Q36" s="32">
        <f t="shared" si="25"/>
        <v>8000</v>
      </c>
      <c r="R36" s="32">
        <f t="shared" si="25"/>
        <v>9200</v>
      </c>
      <c r="S36" s="32">
        <f t="shared" si="25"/>
        <v>9200</v>
      </c>
      <c r="T36" s="32">
        <f t="shared" si="25"/>
        <v>9200</v>
      </c>
      <c r="V36" s="59"/>
    </row>
    <row r="37" spans="1:22" ht="15.75" customHeight="1" x14ac:dyDescent="0.2">
      <c r="A37" s="95" t="s">
        <v>40</v>
      </c>
      <c r="B37" s="96">
        <v>43354</v>
      </c>
      <c r="C37" s="97">
        <v>41</v>
      </c>
      <c r="D37" s="104">
        <v>620</v>
      </c>
      <c r="E37" s="99" t="s">
        <v>5</v>
      </c>
      <c r="F37" s="100">
        <v>61679.79</v>
      </c>
      <c r="G37" s="285">
        <v>70201.97</v>
      </c>
      <c r="H37" s="283">
        <f>402.26+139.97+1168.88+42.45+134.2+13.24+229.63</f>
        <v>2130.63</v>
      </c>
      <c r="I37" s="257">
        <v>46327.7</v>
      </c>
      <c r="J37" s="257">
        <v>46327.7</v>
      </c>
      <c r="K37" s="102">
        <v>70881.16</v>
      </c>
      <c r="L37" s="103"/>
      <c r="M37" s="115"/>
      <c r="N37" s="38" t="s">
        <v>143</v>
      </c>
      <c r="O37" s="10">
        <v>7908.32</v>
      </c>
      <c r="P37" s="57">
        <v>7908.32</v>
      </c>
      <c r="Q37" s="9">
        <v>8000</v>
      </c>
      <c r="R37" s="9">
        <f>8000*1.15</f>
        <v>9200</v>
      </c>
      <c r="S37" s="9">
        <f>8000*1.15</f>
        <v>9200</v>
      </c>
      <c r="T37" s="9">
        <f>8000*1.15</f>
        <v>9200</v>
      </c>
      <c r="V37" s="59"/>
    </row>
    <row r="38" spans="1:22" ht="15.75" customHeight="1" thickBot="1" x14ac:dyDescent="0.25">
      <c r="A38" s="95" t="s">
        <v>42</v>
      </c>
      <c r="B38" s="96" t="s">
        <v>70</v>
      </c>
      <c r="C38" s="97">
        <v>41</v>
      </c>
      <c r="D38" s="104">
        <v>620</v>
      </c>
      <c r="E38" s="99" t="s">
        <v>5</v>
      </c>
      <c r="F38" s="100">
        <v>622.74</v>
      </c>
      <c r="G38" s="285">
        <v>1669.56</v>
      </c>
      <c r="H38" s="101">
        <f>H16*0.352</f>
        <v>1402.8361599999998</v>
      </c>
      <c r="I38" s="257">
        <v>1871.85</v>
      </c>
      <c r="J38" s="257">
        <v>1871.85</v>
      </c>
      <c r="K38" s="102">
        <v>1476.62</v>
      </c>
      <c r="L38" s="103"/>
      <c r="M38" s="17"/>
      <c r="N38" s="15" t="s">
        <v>184</v>
      </c>
      <c r="O38" s="51"/>
      <c r="P38" s="52"/>
      <c r="Q38" s="244">
        <v>0</v>
      </c>
      <c r="R38" s="244">
        <v>0</v>
      </c>
      <c r="S38" s="244">
        <v>0</v>
      </c>
      <c r="T38" s="244">
        <v>0</v>
      </c>
      <c r="V38" s="59"/>
    </row>
    <row r="39" spans="1:22" ht="15" thickBot="1" x14ac:dyDescent="0.25">
      <c r="A39" s="88"/>
      <c r="B39" s="89"/>
      <c r="C39" s="90"/>
      <c r="D39" s="116" t="s">
        <v>77</v>
      </c>
      <c r="E39" s="106" t="s">
        <v>78</v>
      </c>
      <c r="F39" s="107">
        <f t="shared" ref="F39:I39" si="26">F40+F42+F56+F69</f>
        <v>44272.53</v>
      </c>
      <c r="G39" s="107">
        <f t="shared" si="26"/>
        <v>39868.129999999997</v>
      </c>
      <c r="H39" s="107">
        <f t="shared" si="26"/>
        <v>46438.04</v>
      </c>
      <c r="I39" s="231">
        <f t="shared" si="26"/>
        <v>57249.3</v>
      </c>
      <c r="J39" s="231">
        <f t="shared" ref="J39" si="27">J40+J42+J56+J69</f>
        <v>57249.302500000005</v>
      </c>
      <c r="K39" s="231">
        <f>K40+K42+K56+K69</f>
        <v>67490.62999999999</v>
      </c>
      <c r="L39" s="103"/>
      <c r="M39" s="16"/>
      <c r="N39" s="18" t="s">
        <v>144</v>
      </c>
      <c r="O39" s="34">
        <f t="shared" ref="O39:P39" si="28">O7+O11+O18+O24+O36+O38</f>
        <v>852000</v>
      </c>
      <c r="P39" s="34">
        <f t="shared" si="28"/>
        <v>908919.99999999988</v>
      </c>
      <c r="Q39" s="34">
        <f>Q7+Q11+Q18+Q24+Q36+Q38</f>
        <v>973106</v>
      </c>
      <c r="R39" s="34">
        <f>R7+R11+R18+R24+R36+R38</f>
        <v>1109071.8999999999</v>
      </c>
      <c r="S39" s="34">
        <f>S7+S11+S18+S24+S36+S38</f>
        <v>1169071.8999999999</v>
      </c>
      <c r="T39" s="34">
        <f>T7+T11+T18+T24+T36+T38</f>
        <v>1139071.8999999999</v>
      </c>
      <c r="V39" s="59"/>
    </row>
    <row r="40" spans="1:22" ht="15" thickBot="1" x14ac:dyDescent="0.25">
      <c r="A40" s="95"/>
      <c r="B40" s="118"/>
      <c r="C40" s="97"/>
      <c r="D40" s="104">
        <v>631001</v>
      </c>
      <c r="E40" s="119" t="s">
        <v>6</v>
      </c>
      <c r="F40" s="100">
        <v>0</v>
      </c>
      <c r="G40" s="100"/>
      <c r="H40" s="285">
        <f t="shared" ref="H40" si="29">SUM(H41)</f>
        <v>0</v>
      </c>
      <c r="I40" s="229">
        <v>0</v>
      </c>
      <c r="J40" s="100">
        <v>0</v>
      </c>
      <c r="K40" s="100">
        <v>0</v>
      </c>
      <c r="L40" s="94"/>
      <c r="M40" s="122"/>
      <c r="N40" s="36"/>
      <c r="O40" s="37"/>
      <c r="P40" s="37"/>
      <c r="Q40" s="37"/>
      <c r="R40" s="37"/>
      <c r="S40" s="37"/>
      <c r="T40" s="37"/>
      <c r="V40" s="59"/>
    </row>
    <row r="41" spans="1:22" ht="15.75" customHeight="1" thickBot="1" x14ac:dyDescent="0.25">
      <c r="A41" s="95" t="s">
        <v>40</v>
      </c>
      <c r="B41" s="96">
        <v>43354</v>
      </c>
      <c r="C41" s="97">
        <v>41</v>
      </c>
      <c r="D41" s="104">
        <v>631001</v>
      </c>
      <c r="E41" s="119" t="s">
        <v>6</v>
      </c>
      <c r="F41" s="100">
        <v>0</v>
      </c>
      <c r="G41" s="285"/>
      <c r="H41" s="283"/>
      <c r="I41" s="257">
        <v>0</v>
      </c>
      <c r="J41" s="100">
        <v>0</v>
      </c>
      <c r="K41" s="285"/>
      <c r="L41" s="103"/>
      <c r="M41" s="123"/>
      <c r="N41" s="18" t="s">
        <v>145</v>
      </c>
      <c r="O41" s="34">
        <f>O42</f>
        <v>55000</v>
      </c>
      <c r="P41" s="34">
        <f>P42</f>
        <v>15000</v>
      </c>
      <c r="Q41" s="29">
        <v>0</v>
      </c>
      <c r="R41" s="29">
        <f>SUM(R42)</f>
        <v>5000</v>
      </c>
      <c r="S41" s="29">
        <f>SUM(S42)</f>
        <v>5000</v>
      </c>
      <c r="T41" s="29">
        <f>SUM(T42)</f>
        <v>5000</v>
      </c>
      <c r="V41" s="59"/>
    </row>
    <row r="42" spans="1:22" ht="15" thickBot="1" x14ac:dyDescent="0.25">
      <c r="A42" s="95"/>
      <c r="B42" s="118"/>
      <c r="C42" s="97"/>
      <c r="D42" s="104">
        <v>632001</v>
      </c>
      <c r="E42" s="119" t="s">
        <v>7</v>
      </c>
      <c r="F42" s="100">
        <f t="shared" ref="F42:H42" si="30">SUM(F43:F55)</f>
        <v>31815.89</v>
      </c>
      <c r="G42" s="100">
        <f t="shared" si="30"/>
        <v>27850.5</v>
      </c>
      <c r="H42" s="283">
        <f t="shared" si="30"/>
        <v>34190.46</v>
      </c>
      <c r="I42" s="257">
        <f>SUM(I43:I55)</f>
        <v>42492.670000000006</v>
      </c>
      <c r="J42" s="100">
        <f>SUM(J43:J55)</f>
        <v>42492.672500000001</v>
      </c>
      <c r="K42" s="100">
        <f>SUM(K43:K55)</f>
        <v>49712.729999999989</v>
      </c>
      <c r="L42" s="103"/>
      <c r="M42" s="124"/>
      <c r="N42" s="20" t="s">
        <v>152</v>
      </c>
      <c r="O42" s="28">
        <v>55000</v>
      </c>
      <c r="P42" s="28">
        <v>15000</v>
      </c>
      <c r="Q42" s="245">
        <v>0</v>
      </c>
      <c r="R42" s="245">
        <v>5000</v>
      </c>
      <c r="S42" s="245">
        <v>5000</v>
      </c>
      <c r="T42" s="245">
        <v>5000</v>
      </c>
      <c r="V42" s="59"/>
    </row>
    <row r="43" spans="1:22" ht="35.25" customHeight="1" thickBot="1" x14ac:dyDescent="0.25">
      <c r="A43" s="95" t="s">
        <v>38</v>
      </c>
      <c r="B43" s="96">
        <v>43224</v>
      </c>
      <c r="C43" s="97">
        <v>41</v>
      </c>
      <c r="D43" s="104">
        <v>632001</v>
      </c>
      <c r="E43" s="119" t="s">
        <v>7</v>
      </c>
      <c r="F43" s="100">
        <v>3015.5</v>
      </c>
      <c r="G43" s="100">
        <v>2576.2199999999998</v>
      </c>
      <c r="H43" s="285">
        <v>3577.45</v>
      </c>
      <c r="I43" s="228">
        <v>0</v>
      </c>
      <c r="J43" s="100">
        <v>0</v>
      </c>
      <c r="K43" s="100"/>
      <c r="L43" s="103"/>
      <c r="M43" s="19"/>
      <c r="N43" s="20" t="s">
        <v>164</v>
      </c>
      <c r="O43" s="28"/>
      <c r="P43" s="28"/>
      <c r="Q43" s="245">
        <v>0</v>
      </c>
      <c r="R43" s="245">
        <v>0</v>
      </c>
      <c r="S43" s="245">
        <v>0</v>
      </c>
      <c r="T43" s="245">
        <v>0</v>
      </c>
      <c r="V43" s="59"/>
    </row>
    <row r="44" spans="1:22" ht="15.75" customHeight="1" thickBot="1" x14ac:dyDescent="0.25">
      <c r="A44" s="95" t="s">
        <v>38</v>
      </c>
      <c r="B44" s="96">
        <v>43224</v>
      </c>
      <c r="C44" s="97">
        <v>46</v>
      </c>
      <c r="D44" s="104">
        <v>632001</v>
      </c>
      <c r="E44" s="119" t="s">
        <v>7</v>
      </c>
      <c r="F44" s="100">
        <v>2240.77</v>
      </c>
      <c r="G44" s="285">
        <v>1039.46</v>
      </c>
      <c r="H44" s="283">
        <v>448.39</v>
      </c>
      <c r="I44" s="101">
        <f>1000*1.15</f>
        <v>1150</v>
      </c>
      <c r="J44" s="100">
        <f>1000*1.15</f>
        <v>1150</v>
      </c>
      <c r="K44" s="285">
        <v>5574.77</v>
      </c>
      <c r="L44" s="103"/>
      <c r="M44" s="19"/>
      <c r="N44" s="20" t="s">
        <v>188</v>
      </c>
      <c r="O44" s="28"/>
      <c r="P44" s="28"/>
      <c r="Q44" s="245">
        <v>0</v>
      </c>
      <c r="R44" s="245">
        <v>0</v>
      </c>
      <c r="S44" s="245">
        <v>0</v>
      </c>
      <c r="T44" s="245">
        <v>0</v>
      </c>
      <c r="V44" s="59"/>
    </row>
    <row r="45" spans="1:22" ht="15.75" customHeight="1" thickBot="1" x14ac:dyDescent="0.25">
      <c r="A45" s="95" t="s">
        <v>38</v>
      </c>
      <c r="B45" s="96">
        <v>44320</v>
      </c>
      <c r="C45" s="97">
        <v>42</v>
      </c>
      <c r="D45" s="104">
        <v>632001</v>
      </c>
      <c r="E45" s="119" t="s">
        <v>7</v>
      </c>
      <c r="F45" s="100"/>
      <c r="G45" s="285"/>
      <c r="H45" s="283">
        <v>0</v>
      </c>
      <c r="I45" s="259"/>
      <c r="J45" s="100"/>
      <c r="K45" s="285"/>
      <c r="L45" s="103"/>
      <c r="M45" s="19"/>
      <c r="N45" s="22"/>
      <c r="O45" s="30"/>
      <c r="P45" s="30"/>
      <c r="Q45" s="246"/>
      <c r="R45" s="246"/>
      <c r="S45" s="246"/>
      <c r="T45" s="246"/>
      <c r="V45" s="59"/>
    </row>
    <row r="46" spans="1:22" ht="15.75" customHeight="1" thickBot="1" x14ac:dyDescent="0.25">
      <c r="A46" s="95" t="s">
        <v>39</v>
      </c>
      <c r="B46" s="96">
        <v>43106</v>
      </c>
      <c r="C46" s="97">
        <v>41</v>
      </c>
      <c r="D46" s="104">
        <v>632001</v>
      </c>
      <c r="E46" s="119" t="s">
        <v>7</v>
      </c>
      <c r="F46" s="100">
        <v>7236.56</v>
      </c>
      <c r="G46" s="285">
        <v>6874.14</v>
      </c>
      <c r="H46" s="283">
        <v>8463.94</v>
      </c>
      <c r="I46" s="101">
        <v>10350</v>
      </c>
      <c r="J46" s="100">
        <v>10350</v>
      </c>
      <c r="K46" s="285">
        <v>10350</v>
      </c>
      <c r="L46" s="103"/>
      <c r="M46" s="21"/>
      <c r="N46" s="22"/>
      <c r="O46" s="30"/>
      <c r="P46" s="30"/>
      <c r="Q46" s="246"/>
      <c r="R46" s="246"/>
      <c r="S46" s="246"/>
      <c r="T46" s="246"/>
      <c r="V46" s="59"/>
    </row>
    <row r="47" spans="1:22" ht="15.75" customHeight="1" thickBot="1" x14ac:dyDescent="0.25">
      <c r="A47" s="95" t="s">
        <v>39</v>
      </c>
      <c r="B47" s="96">
        <v>43471</v>
      </c>
      <c r="C47" s="97">
        <v>42</v>
      </c>
      <c r="D47" s="104">
        <v>632001</v>
      </c>
      <c r="E47" s="119" t="s">
        <v>7</v>
      </c>
      <c r="F47" s="100">
        <v>948.07</v>
      </c>
      <c r="G47" s="285">
        <v>2375.3200000000002</v>
      </c>
      <c r="H47" s="283">
        <v>1142</v>
      </c>
      <c r="I47" s="101">
        <f>3200*1.15</f>
        <v>3679.9999999999995</v>
      </c>
      <c r="J47" s="100">
        <f>3200*1.15</f>
        <v>3679.9999999999995</v>
      </c>
      <c r="K47" s="285">
        <v>134.47</v>
      </c>
      <c r="L47" s="103"/>
      <c r="M47" s="23"/>
      <c r="N47" s="22"/>
      <c r="O47" s="30"/>
      <c r="P47" s="30"/>
      <c r="Q47" s="246"/>
      <c r="R47" s="246"/>
      <c r="S47" s="246"/>
      <c r="T47" s="246"/>
      <c r="V47" s="59"/>
    </row>
    <row r="48" spans="1:22" ht="14.25" customHeight="1" thickBot="1" x14ac:dyDescent="0.25">
      <c r="A48" s="95" t="s">
        <v>39</v>
      </c>
      <c r="B48" s="96">
        <v>44202</v>
      </c>
      <c r="C48" s="97">
        <v>46</v>
      </c>
      <c r="D48" s="104">
        <v>632001</v>
      </c>
      <c r="E48" s="119" t="s">
        <v>7</v>
      </c>
      <c r="F48" s="100"/>
      <c r="G48" s="285">
        <v>408.24</v>
      </c>
      <c r="H48" s="283"/>
      <c r="I48" s="101">
        <f>1500*1.15</f>
        <v>1724.9999999999998</v>
      </c>
      <c r="J48" s="100">
        <f>1500*1.15</f>
        <v>1724.9999999999998</v>
      </c>
      <c r="K48" s="285">
        <v>5270.53</v>
      </c>
      <c r="L48" s="103"/>
      <c r="M48" s="23"/>
      <c r="N48" s="24" t="s">
        <v>146</v>
      </c>
      <c r="O48" s="35">
        <f t="shared" ref="O48:Q48" si="31">O39+O41</f>
        <v>907000</v>
      </c>
      <c r="P48" s="35">
        <f t="shared" si="31"/>
        <v>923919.99999999988</v>
      </c>
      <c r="Q48" s="35">
        <f t="shared" si="31"/>
        <v>973106</v>
      </c>
      <c r="R48" s="35">
        <f>R39+R41</f>
        <v>1114071.8999999999</v>
      </c>
      <c r="S48" s="35">
        <f>S39+S41</f>
        <v>1174071.8999999999</v>
      </c>
      <c r="T48" s="35">
        <f>T39+T41</f>
        <v>1144071.8999999999</v>
      </c>
      <c r="V48" s="59"/>
    </row>
    <row r="49" spans="1:22" ht="15" customHeight="1" x14ac:dyDescent="0.2">
      <c r="A49" s="95" t="s">
        <v>40</v>
      </c>
      <c r="B49" s="96">
        <v>43719</v>
      </c>
      <c r="C49" s="97">
        <v>41</v>
      </c>
      <c r="D49" s="104">
        <v>632001</v>
      </c>
      <c r="E49" s="119" t="s">
        <v>7</v>
      </c>
      <c r="F49" s="100">
        <v>7277.66</v>
      </c>
      <c r="G49" s="285">
        <v>8631.08</v>
      </c>
      <c r="H49" s="283">
        <v>11242.8</v>
      </c>
      <c r="I49" s="258">
        <f>10500*1.15</f>
        <v>12074.999999999998</v>
      </c>
      <c r="J49" s="100">
        <f>10500*1.15</f>
        <v>12074.999999999998</v>
      </c>
      <c r="K49" s="285">
        <v>12064.55</v>
      </c>
      <c r="L49" s="103"/>
      <c r="M49" s="56"/>
      <c r="N49" s="54"/>
      <c r="O49" s="55"/>
      <c r="P49" s="55"/>
      <c r="Q49" s="237"/>
      <c r="R49" s="237"/>
      <c r="S49" s="55"/>
      <c r="U49" s="238"/>
      <c r="V49" s="59"/>
    </row>
    <row r="50" spans="1:22" ht="15.75" customHeight="1" x14ac:dyDescent="0.2">
      <c r="A50" s="95" t="s">
        <v>40</v>
      </c>
      <c r="B50" s="96">
        <v>43354</v>
      </c>
      <c r="C50" s="97">
        <v>46</v>
      </c>
      <c r="D50" s="104">
        <v>632001</v>
      </c>
      <c r="E50" s="119" t="s">
        <v>7</v>
      </c>
      <c r="F50" s="100">
        <v>2917.33</v>
      </c>
      <c r="G50" s="285">
        <v>0</v>
      </c>
      <c r="H50" s="283">
        <v>2184</v>
      </c>
      <c r="I50" s="101">
        <v>2569.27</v>
      </c>
      <c r="J50" s="100">
        <f>(2000+234.15)*1.15</f>
        <v>2569.2725</v>
      </c>
      <c r="K50" s="285">
        <v>2956.41</v>
      </c>
      <c r="L50" s="103"/>
      <c r="M50" s="56"/>
      <c r="N50" s="66"/>
      <c r="O50" s="60"/>
      <c r="S50" s="60"/>
      <c r="U50" s="238"/>
      <c r="V50" s="59"/>
    </row>
    <row r="51" spans="1:22" ht="15" customHeight="1" x14ac:dyDescent="0.2">
      <c r="A51" s="95" t="s">
        <v>41</v>
      </c>
      <c r="B51" s="96">
        <v>43166</v>
      </c>
      <c r="C51" s="97">
        <v>41</v>
      </c>
      <c r="D51" s="104">
        <v>632001</v>
      </c>
      <c r="E51" s="119" t="s">
        <v>7</v>
      </c>
      <c r="F51" s="100">
        <v>447.82</v>
      </c>
      <c r="G51" s="285">
        <v>1454.47</v>
      </c>
      <c r="H51" s="283">
        <v>3184</v>
      </c>
      <c r="I51" s="101">
        <f>7300*1.15</f>
        <v>8395</v>
      </c>
      <c r="J51" s="100">
        <v>8395</v>
      </c>
      <c r="K51" s="285">
        <v>11297.13</v>
      </c>
      <c r="L51" s="103"/>
      <c r="M51" s="66"/>
      <c r="N51" s="125"/>
      <c r="U51" s="238"/>
      <c r="V51" s="59"/>
    </row>
    <row r="52" spans="1:22" ht="15" customHeight="1" x14ac:dyDescent="0.2">
      <c r="A52" s="95" t="s">
        <v>41</v>
      </c>
      <c r="B52" s="96">
        <v>43897</v>
      </c>
      <c r="C52" s="97">
        <v>42</v>
      </c>
      <c r="D52" s="104">
        <v>632001</v>
      </c>
      <c r="E52" s="119" t="s">
        <v>7</v>
      </c>
      <c r="F52" s="100"/>
      <c r="G52" s="285"/>
      <c r="H52" s="283">
        <v>0</v>
      </c>
      <c r="I52" s="258"/>
      <c r="J52" s="100"/>
      <c r="K52" s="285"/>
      <c r="L52" s="103"/>
      <c r="M52" s="279"/>
      <c r="N52" s="280"/>
      <c r="O52" s="280"/>
      <c r="P52" s="280"/>
      <c r="U52" s="238"/>
      <c r="V52" s="59"/>
    </row>
    <row r="53" spans="1:22" ht="16.5" customHeight="1" x14ac:dyDescent="0.2">
      <c r="A53" s="95" t="s">
        <v>41</v>
      </c>
      <c r="B53" s="96">
        <v>44262</v>
      </c>
      <c r="C53" s="97">
        <v>46</v>
      </c>
      <c r="D53" s="104">
        <v>632001</v>
      </c>
      <c r="E53" s="119" t="s">
        <v>7</v>
      </c>
      <c r="F53" s="100"/>
      <c r="G53" s="285"/>
      <c r="H53" s="283"/>
      <c r="I53" s="258">
        <f>1216*1.15</f>
        <v>1398.3999999999999</v>
      </c>
      <c r="J53" s="100">
        <f>1216*1.15</f>
        <v>1398.3999999999999</v>
      </c>
      <c r="K53" s="285">
        <v>1709.52</v>
      </c>
      <c r="L53" s="103"/>
      <c r="M53" s="279"/>
      <c r="N53" s="279"/>
      <c r="O53" s="279"/>
      <c r="P53" s="280"/>
      <c r="U53" s="238"/>
      <c r="V53" s="59"/>
    </row>
    <row r="54" spans="1:22" ht="15" customHeight="1" x14ac:dyDescent="0.2">
      <c r="A54" s="95" t="s">
        <v>42</v>
      </c>
      <c r="B54" s="96" t="s">
        <v>70</v>
      </c>
      <c r="C54" s="97">
        <v>42</v>
      </c>
      <c r="D54" s="104">
        <v>632001</v>
      </c>
      <c r="E54" s="119" t="s">
        <v>7</v>
      </c>
      <c r="F54" s="100"/>
      <c r="G54" s="285"/>
      <c r="H54" s="283"/>
      <c r="I54" s="101"/>
      <c r="J54" s="100"/>
      <c r="K54" s="285"/>
      <c r="L54" s="103"/>
      <c r="M54" s="278"/>
      <c r="N54" s="278"/>
      <c r="O54" s="278"/>
      <c r="P54" s="280"/>
      <c r="S54" s="60"/>
      <c r="U54" s="238"/>
      <c r="V54" s="59"/>
    </row>
    <row r="55" spans="1:22" ht="15" customHeight="1" x14ac:dyDescent="0.2">
      <c r="A55" s="95" t="s">
        <v>40</v>
      </c>
      <c r="B55" s="96">
        <v>43719</v>
      </c>
      <c r="C55" s="97">
        <v>42</v>
      </c>
      <c r="D55" s="104">
        <v>632001</v>
      </c>
      <c r="E55" s="119" t="s">
        <v>7</v>
      </c>
      <c r="F55" s="100">
        <v>7732.18</v>
      </c>
      <c r="G55" s="285">
        <v>4491.57</v>
      </c>
      <c r="H55" s="283">
        <v>3947.88</v>
      </c>
      <c r="I55" s="101">
        <f>1000*1.15</f>
        <v>1150</v>
      </c>
      <c r="J55" s="100">
        <f>1000*1.15</f>
        <v>1150</v>
      </c>
      <c r="K55" s="285">
        <v>355.35</v>
      </c>
      <c r="L55" s="103"/>
      <c r="M55" s="278"/>
      <c r="N55" s="278"/>
      <c r="O55" s="278"/>
      <c r="P55" s="280"/>
      <c r="U55" s="238"/>
      <c r="V55" s="59"/>
    </row>
    <row r="56" spans="1:22" x14ac:dyDescent="0.2">
      <c r="A56" s="95"/>
      <c r="B56" s="118"/>
      <c r="C56" s="97"/>
      <c r="D56" s="104">
        <v>632002</v>
      </c>
      <c r="E56" s="119" t="s">
        <v>8</v>
      </c>
      <c r="F56" s="100">
        <f t="shared" ref="F56:I56" si="32">SUM(F57:F68)</f>
        <v>8150.75</v>
      </c>
      <c r="G56" s="285">
        <f>SUM(G57:G68)</f>
        <v>6686.5599999999995</v>
      </c>
      <c r="H56" s="283">
        <f t="shared" ref="H56" si="33">SUM(H57:H68)</f>
        <v>7137.58</v>
      </c>
      <c r="I56" s="258">
        <f t="shared" si="32"/>
        <v>10271.799999999999</v>
      </c>
      <c r="J56" s="100">
        <f>SUM(J57:J68)</f>
        <v>10271.800000000001</v>
      </c>
      <c r="K56" s="285">
        <f>SUM(K57:K68)</f>
        <v>13686.93</v>
      </c>
      <c r="L56" s="103"/>
      <c r="M56" s="278"/>
      <c r="N56" s="278"/>
      <c r="O56" s="278"/>
      <c r="P56" s="280"/>
      <c r="U56" s="238"/>
      <c r="V56" s="59"/>
    </row>
    <row r="57" spans="1:22" ht="15" customHeight="1" x14ac:dyDescent="0.2">
      <c r="A57" s="95" t="s">
        <v>38</v>
      </c>
      <c r="B57" s="96">
        <v>43224</v>
      </c>
      <c r="C57" s="97">
        <v>41</v>
      </c>
      <c r="D57" s="104">
        <v>632002</v>
      </c>
      <c r="E57" s="119" t="s">
        <v>8</v>
      </c>
      <c r="F57" s="100">
        <v>0</v>
      </c>
      <c r="G57" s="285">
        <v>0</v>
      </c>
      <c r="H57" s="283">
        <v>0</v>
      </c>
      <c r="I57" s="258">
        <v>0</v>
      </c>
      <c r="J57" s="100">
        <v>0</v>
      </c>
      <c r="K57" s="285"/>
      <c r="L57" s="103"/>
      <c r="M57" s="278"/>
      <c r="N57" s="278"/>
      <c r="O57" s="278"/>
      <c r="P57" s="280"/>
      <c r="U57" s="238"/>
      <c r="V57" s="59"/>
    </row>
    <row r="58" spans="1:22" ht="15.75" customHeight="1" x14ac:dyDescent="0.2">
      <c r="A58" s="109" t="s">
        <v>38</v>
      </c>
      <c r="B58" s="110">
        <v>44320</v>
      </c>
      <c r="C58" s="111">
        <v>46</v>
      </c>
      <c r="D58" s="126">
        <v>632002</v>
      </c>
      <c r="E58" s="127" t="s">
        <v>8</v>
      </c>
      <c r="F58" s="100">
        <v>651</v>
      </c>
      <c r="G58" s="285"/>
      <c r="H58" s="283"/>
      <c r="I58" s="101"/>
      <c r="J58" s="100"/>
      <c r="K58" s="285"/>
      <c r="L58" s="103"/>
      <c r="M58" s="278"/>
      <c r="N58" s="278"/>
      <c r="O58" s="278"/>
      <c r="P58" s="280"/>
      <c r="U58" s="238"/>
      <c r="V58" s="59"/>
    </row>
    <row r="59" spans="1:22" ht="15" customHeight="1" x14ac:dyDescent="0.2">
      <c r="A59" s="95" t="s">
        <v>39</v>
      </c>
      <c r="B59" s="96">
        <v>43106</v>
      </c>
      <c r="C59" s="97">
        <v>41</v>
      </c>
      <c r="D59" s="104">
        <v>632002</v>
      </c>
      <c r="E59" s="119" t="s">
        <v>8</v>
      </c>
      <c r="F59" s="100">
        <v>1329.52</v>
      </c>
      <c r="G59" s="285">
        <v>1694.06</v>
      </c>
      <c r="H59" s="283">
        <v>129.28</v>
      </c>
      <c r="I59" s="258">
        <v>200.1</v>
      </c>
      <c r="J59" s="100">
        <v>200.1</v>
      </c>
      <c r="K59" s="285">
        <v>303.33</v>
      </c>
      <c r="L59" s="103"/>
      <c r="M59" s="278"/>
      <c r="N59" s="278"/>
      <c r="O59" s="278"/>
      <c r="P59" s="280"/>
      <c r="U59" s="238"/>
      <c r="V59" s="59"/>
    </row>
    <row r="60" spans="1:22" s="60" customFormat="1" ht="15.75" customHeight="1" x14ac:dyDescent="0.25">
      <c r="A60" s="95" t="s">
        <v>39</v>
      </c>
      <c r="B60" s="96">
        <v>44202</v>
      </c>
      <c r="C60" s="97">
        <v>46</v>
      </c>
      <c r="D60" s="104">
        <v>632002</v>
      </c>
      <c r="E60" s="119" t="s">
        <v>8</v>
      </c>
      <c r="F60" s="100">
        <v>1023</v>
      </c>
      <c r="G60" s="285">
        <v>2124</v>
      </c>
      <c r="H60" s="283">
        <v>5508.3</v>
      </c>
      <c r="I60" s="258">
        <f>(2500*1.16)*1.15</f>
        <v>3334.9999999999995</v>
      </c>
      <c r="J60" s="100">
        <f>(2500*1.16)*1.15+2668</f>
        <v>6003</v>
      </c>
      <c r="K60" s="285">
        <v>9249.34</v>
      </c>
      <c r="L60" s="103"/>
      <c r="M60" s="281"/>
      <c r="N60" s="278"/>
      <c r="O60" s="278"/>
      <c r="P60" s="280"/>
      <c r="Q60" s="240"/>
      <c r="R60" s="240"/>
      <c r="S60" s="59"/>
      <c r="U60" s="239"/>
    </row>
    <row r="61" spans="1:22" ht="15" customHeight="1" x14ac:dyDescent="0.2">
      <c r="A61" s="95" t="s">
        <v>39</v>
      </c>
      <c r="B61" s="96">
        <v>43471</v>
      </c>
      <c r="C61" s="97">
        <v>42</v>
      </c>
      <c r="D61" s="104">
        <v>632002</v>
      </c>
      <c r="E61" s="119" t="s">
        <v>8</v>
      </c>
      <c r="F61" s="100">
        <v>3861</v>
      </c>
      <c r="G61" s="285">
        <v>1323</v>
      </c>
      <c r="H61" s="283"/>
      <c r="I61" s="101"/>
      <c r="J61" s="100"/>
      <c r="K61" s="285"/>
      <c r="L61" s="103"/>
      <c r="M61" s="280"/>
      <c r="N61" s="280"/>
      <c r="O61" s="280"/>
      <c r="P61" s="280"/>
      <c r="U61" s="238"/>
      <c r="V61" s="59"/>
    </row>
    <row r="62" spans="1:22" ht="15" customHeight="1" x14ac:dyDescent="0.2">
      <c r="A62" s="95" t="s">
        <v>39</v>
      </c>
      <c r="B62" s="96">
        <v>43471</v>
      </c>
      <c r="C62" s="97">
        <v>46</v>
      </c>
      <c r="D62" s="104">
        <v>632002</v>
      </c>
      <c r="E62" s="119" t="s">
        <v>8</v>
      </c>
      <c r="F62" s="112">
        <v>0</v>
      </c>
      <c r="G62" s="112">
        <v>0</v>
      </c>
      <c r="H62" s="289"/>
      <c r="I62" s="101">
        <f>(2000*1.16)*1.15</f>
        <v>2668</v>
      </c>
      <c r="J62" s="112"/>
      <c r="K62" s="112"/>
      <c r="L62" s="103"/>
      <c r="M62" s="280"/>
      <c r="N62" s="280"/>
      <c r="O62" s="280"/>
      <c r="P62" s="280"/>
      <c r="S62" s="60"/>
      <c r="U62" s="238"/>
      <c r="V62" s="59"/>
    </row>
    <row r="63" spans="1:22" ht="15" customHeight="1" x14ac:dyDescent="0.2">
      <c r="A63" s="95" t="s">
        <v>40</v>
      </c>
      <c r="B63" s="96">
        <v>43354</v>
      </c>
      <c r="C63" s="97">
        <v>41</v>
      </c>
      <c r="D63" s="104">
        <v>632002</v>
      </c>
      <c r="E63" s="119" t="s">
        <v>8</v>
      </c>
      <c r="F63" s="100">
        <v>11.23</v>
      </c>
      <c r="G63" s="285">
        <v>1502.36</v>
      </c>
      <c r="H63" s="283">
        <v>1500</v>
      </c>
      <c r="I63" s="258">
        <f>(1500*1.16)*1.15</f>
        <v>2000.9999999999995</v>
      </c>
      <c r="J63" s="100">
        <f>(1500*1.16)*1.15</f>
        <v>2000.9999999999995</v>
      </c>
      <c r="K63" s="285">
        <v>3543.68</v>
      </c>
      <c r="L63" s="103"/>
      <c r="M63" s="103"/>
      <c r="U63" s="238"/>
      <c r="V63" s="59"/>
    </row>
    <row r="64" spans="1:22" ht="15" customHeight="1" x14ac:dyDescent="0.2">
      <c r="A64" s="95" t="s">
        <v>40</v>
      </c>
      <c r="B64" s="96">
        <v>44085</v>
      </c>
      <c r="C64" s="97">
        <v>46</v>
      </c>
      <c r="D64" s="104">
        <v>632002</v>
      </c>
      <c r="E64" s="119" t="s">
        <v>8</v>
      </c>
      <c r="F64" s="100"/>
      <c r="G64" s="100"/>
      <c r="H64" s="283"/>
      <c r="I64" s="258">
        <v>2001</v>
      </c>
      <c r="J64" s="100"/>
      <c r="K64" s="100"/>
      <c r="L64" s="103"/>
      <c r="M64" s="59"/>
      <c r="U64" s="238"/>
      <c r="V64" s="59"/>
    </row>
    <row r="65" spans="1:22" ht="15" customHeight="1" x14ac:dyDescent="0.2">
      <c r="A65" s="95" t="s">
        <v>40</v>
      </c>
      <c r="B65" s="96">
        <v>44450</v>
      </c>
      <c r="C65" s="97">
        <v>42</v>
      </c>
      <c r="D65" s="104">
        <v>632002</v>
      </c>
      <c r="E65" s="119" t="s">
        <v>8</v>
      </c>
      <c r="F65" s="100">
        <v>1275</v>
      </c>
      <c r="G65" s="100"/>
      <c r="H65" s="285"/>
      <c r="I65" s="101"/>
      <c r="J65" s="100">
        <v>2001</v>
      </c>
      <c r="K65" s="100">
        <v>523.88</v>
      </c>
      <c r="L65" s="103"/>
      <c r="M65" s="59"/>
      <c r="U65" s="238"/>
      <c r="V65" s="59"/>
    </row>
    <row r="66" spans="1:22" ht="15" customHeight="1" x14ac:dyDescent="0.2">
      <c r="A66" s="109" t="s">
        <v>40</v>
      </c>
      <c r="B66" s="110">
        <v>44450</v>
      </c>
      <c r="C66" s="111">
        <v>46</v>
      </c>
      <c r="D66" s="126">
        <v>632002</v>
      </c>
      <c r="E66" s="127" t="s">
        <v>8</v>
      </c>
      <c r="F66" s="100"/>
      <c r="G66" s="100"/>
      <c r="H66" s="283"/>
      <c r="I66" s="258"/>
      <c r="J66" s="100"/>
      <c r="K66" s="100"/>
      <c r="L66" s="103"/>
      <c r="M66" s="59"/>
      <c r="U66" s="238"/>
      <c r="V66" s="59"/>
    </row>
    <row r="67" spans="1:22" ht="15" customHeight="1" x14ac:dyDescent="0.2">
      <c r="A67" s="95" t="s">
        <v>41</v>
      </c>
      <c r="B67" s="96">
        <v>43166</v>
      </c>
      <c r="C67" s="97">
        <v>41</v>
      </c>
      <c r="D67" s="104">
        <v>632002</v>
      </c>
      <c r="E67" s="119" t="s">
        <v>8</v>
      </c>
      <c r="F67" s="100">
        <v>0</v>
      </c>
      <c r="G67" s="100">
        <v>43.14</v>
      </c>
      <c r="H67" s="283">
        <v>0</v>
      </c>
      <c r="I67" s="101">
        <f>(50*1.16)*1.15</f>
        <v>66.699999999999989</v>
      </c>
      <c r="J67" s="100">
        <f>(50*1.16)*1.15</f>
        <v>66.699999999999989</v>
      </c>
      <c r="K67" s="100">
        <v>66.7</v>
      </c>
      <c r="L67" s="103"/>
      <c r="M67" s="59"/>
      <c r="U67" s="238"/>
      <c r="V67" s="59"/>
    </row>
    <row r="68" spans="1:22" s="60" customFormat="1" ht="15" customHeight="1" x14ac:dyDescent="0.2">
      <c r="A68" s="95" t="s">
        <v>42</v>
      </c>
      <c r="B68" s="96" t="s">
        <v>70</v>
      </c>
      <c r="C68" s="97">
        <v>41</v>
      </c>
      <c r="D68" s="104">
        <v>632002</v>
      </c>
      <c r="E68" s="119" t="s">
        <v>8</v>
      </c>
      <c r="F68" s="112">
        <v>0</v>
      </c>
      <c r="G68" s="112">
        <v>0</v>
      </c>
      <c r="H68" s="289">
        <v>0</v>
      </c>
      <c r="I68" s="101"/>
      <c r="J68" s="112"/>
      <c r="K68" s="112"/>
      <c r="L68" s="103"/>
      <c r="M68" s="59"/>
      <c r="N68" s="59"/>
      <c r="O68" s="59"/>
      <c r="Q68" s="240"/>
      <c r="R68" s="240"/>
      <c r="S68" s="59"/>
      <c r="U68" s="239"/>
    </row>
    <row r="69" spans="1:22" x14ac:dyDescent="0.2">
      <c r="A69" s="95"/>
      <c r="B69" s="96"/>
      <c r="C69" s="97"/>
      <c r="D69" s="104">
        <v>632003</v>
      </c>
      <c r="E69" s="119" t="s">
        <v>9</v>
      </c>
      <c r="F69" s="120">
        <f t="shared" ref="F69:I69" si="34">SUM(F70:F83)</f>
        <v>4305.8899999999994</v>
      </c>
      <c r="G69" s="288">
        <f t="shared" ref="G69" si="35">SUM(G70:G83)</f>
        <v>5331.07</v>
      </c>
      <c r="H69" s="287">
        <f t="shared" ref="H69" si="36">SUM(H70:H83)</f>
        <v>5110</v>
      </c>
      <c r="I69" s="258">
        <f t="shared" si="34"/>
        <v>4484.83</v>
      </c>
      <c r="J69" s="120">
        <f t="shared" ref="J69:K69" si="37">SUM(J70:J83)</f>
        <v>4484.83</v>
      </c>
      <c r="K69" s="288">
        <f t="shared" si="37"/>
        <v>4090.9700000000003</v>
      </c>
      <c r="L69" s="103"/>
      <c r="M69" s="59"/>
      <c r="U69" s="238"/>
      <c r="V69" s="59"/>
    </row>
    <row r="70" spans="1:22" ht="15" customHeight="1" x14ac:dyDescent="0.2">
      <c r="A70" s="95" t="s">
        <v>38</v>
      </c>
      <c r="B70" s="96">
        <v>43224</v>
      </c>
      <c r="C70" s="97">
        <v>41</v>
      </c>
      <c r="D70" s="104">
        <v>632003</v>
      </c>
      <c r="E70" s="119" t="s">
        <v>9</v>
      </c>
      <c r="F70" s="100">
        <v>51.43</v>
      </c>
      <c r="G70" s="285">
        <v>62.32</v>
      </c>
      <c r="H70" s="283">
        <v>0</v>
      </c>
      <c r="I70" s="258">
        <v>0</v>
      </c>
      <c r="J70" s="100">
        <v>0</v>
      </c>
      <c r="K70" s="285"/>
      <c r="L70" s="103"/>
      <c r="M70" s="59"/>
      <c r="U70" s="238"/>
      <c r="V70" s="59"/>
    </row>
    <row r="71" spans="1:22" ht="15" customHeight="1" x14ac:dyDescent="0.2">
      <c r="A71" s="95" t="s">
        <v>38</v>
      </c>
      <c r="B71" s="96">
        <v>43955</v>
      </c>
      <c r="C71" s="97">
        <v>42</v>
      </c>
      <c r="D71" s="104">
        <v>632003</v>
      </c>
      <c r="E71" s="119" t="s">
        <v>9</v>
      </c>
      <c r="F71" s="100"/>
      <c r="G71" s="285">
        <v>0</v>
      </c>
      <c r="H71" s="283">
        <v>0</v>
      </c>
      <c r="I71" s="258">
        <f>300*1.15</f>
        <v>345</v>
      </c>
      <c r="J71" s="100">
        <f>300*1.15</f>
        <v>345</v>
      </c>
      <c r="K71" s="285">
        <v>2.2000000000000002</v>
      </c>
      <c r="L71" s="103"/>
      <c r="M71" s="59"/>
      <c r="U71" s="238"/>
      <c r="V71" s="59"/>
    </row>
    <row r="72" spans="1:22" ht="15" customHeight="1" x14ac:dyDescent="0.2">
      <c r="A72" s="95" t="s">
        <v>38</v>
      </c>
      <c r="B72" s="96">
        <v>43224</v>
      </c>
      <c r="C72" s="97">
        <v>46</v>
      </c>
      <c r="D72" s="104">
        <v>632003</v>
      </c>
      <c r="E72" s="119" t="s">
        <v>9</v>
      </c>
      <c r="F72" s="100">
        <v>0</v>
      </c>
      <c r="G72" s="285">
        <v>0</v>
      </c>
      <c r="H72" s="283">
        <v>35.9</v>
      </c>
      <c r="I72" s="258">
        <f>200*1.15</f>
        <v>229.99999999999997</v>
      </c>
      <c r="J72" s="100">
        <f>200*1.15</f>
        <v>229.99999999999997</v>
      </c>
      <c r="K72" s="285"/>
      <c r="L72" s="103"/>
      <c r="M72" s="59"/>
      <c r="N72" s="103"/>
      <c r="U72" s="238"/>
      <c r="V72" s="59"/>
    </row>
    <row r="73" spans="1:22" ht="15" customHeight="1" x14ac:dyDescent="0.2">
      <c r="A73" s="95" t="s">
        <v>39</v>
      </c>
      <c r="B73" s="96">
        <v>43106</v>
      </c>
      <c r="C73" s="97">
        <v>41</v>
      </c>
      <c r="D73" s="104">
        <v>632003</v>
      </c>
      <c r="E73" s="119" t="s">
        <v>9</v>
      </c>
      <c r="F73" s="100">
        <v>497.71</v>
      </c>
      <c r="G73" s="285">
        <v>463.39</v>
      </c>
      <c r="H73" s="283">
        <v>1024.05</v>
      </c>
      <c r="I73" s="258">
        <v>805</v>
      </c>
      <c r="J73" s="100">
        <v>805</v>
      </c>
      <c r="K73" s="285">
        <v>634.67999999999995</v>
      </c>
      <c r="L73" s="103"/>
      <c r="M73" s="59"/>
      <c r="U73" s="238"/>
      <c r="V73" s="59"/>
    </row>
    <row r="74" spans="1:22" ht="14.25" customHeight="1" x14ac:dyDescent="0.2">
      <c r="A74" s="95" t="s">
        <v>39</v>
      </c>
      <c r="B74" s="96">
        <v>43471</v>
      </c>
      <c r="C74" s="97">
        <v>42</v>
      </c>
      <c r="D74" s="104">
        <v>632003</v>
      </c>
      <c r="E74" s="119" t="s">
        <v>9</v>
      </c>
      <c r="F74" s="112">
        <v>347.5</v>
      </c>
      <c r="G74" s="112">
        <v>806.91</v>
      </c>
      <c r="H74" s="289">
        <v>2563.71</v>
      </c>
      <c r="I74" s="225">
        <f t="shared" ref="I74:I75" si="38">300*1.15</f>
        <v>345</v>
      </c>
      <c r="J74" s="112">
        <f t="shared" ref="J74:J75" si="39">300*1.15</f>
        <v>345</v>
      </c>
      <c r="K74" s="112">
        <v>2286.36</v>
      </c>
      <c r="L74" s="103"/>
      <c r="M74" s="59"/>
      <c r="U74" s="238"/>
      <c r="V74" s="59"/>
    </row>
    <row r="75" spans="1:22" ht="14.25" customHeight="1" x14ac:dyDescent="0.2">
      <c r="A75" s="95" t="s">
        <v>41</v>
      </c>
      <c r="B75" s="96">
        <v>43166</v>
      </c>
      <c r="C75" s="97">
        <v>41</v>
      </c>
      <c r="D75" s="104">
        <v>632003</v>
      </c>
      <c r="E75" s="119" t="s">
        <v>9</v>
      </c>
      <c r="F75" s="100">
        <v>470.83</v>
      </c>
      <c r="G75" s="285">
        <v>396.87</v>
      </c>
      <c r="H75" s="283">
        <v>250.8</v>
      </c>
      <c r="I75" s="229">
        <f t="shared" si="38"/>
        <v>345</v>
      </c>
      <c r="J75" s="100">
        <f t="shared" si="39"/>
        <v>345</v>
      </c>
      <c r="K75" s="285">
        <v>57.23</v>
      </c>
      <c r="L75" s="103"/>
      <c r="M75" s="59"/>
      <c r="U75" s="238"/>
      <c r="V75" s="59"/>
    </row>
    <row r="76" spans="1:22" ht="14.25" customHeight="1" x14ac:dyDescent="0.2">
      <c r="A76" s="95" t="s">
        <v>41</v>
      </c>
      <c r="B76" s="96">
        <v>43531</v>
      </c>
      <c r="C76" s="97">
        <v>42</v>
      </c>
      <c r="D76" s="104">
        <v>632003</v>
      </c>
      <c r="E76" s="119" t="s">
        <v>9</v>
      </c>
      <c r="F76" s="100">
        <v>722.36</v>
      </c>
      <c r="G76" s="285">
        <v>1499.86</v>
      </c>
      <c r="H76" s="283">
        <v>611.17999999999995</v>
      </c>
      <c r="I76" s="257">
        <f>400*1.15</f>
        <v>459.99999999999994</v>
      </c>
      <c r="J76" s="100">
        <f>400*1.15</f>
        <v>459.99999999999994</v>
      </c>
      <c r="K76" s="285">
        <v>460</v>
      </c>
      <c r="L76" s="103"/>
      <c r="M76" s="59"/>
      <c r="U76" s="238"/>
      <c r="V76" s="59"/>
    </row>
    <row r="77" spans="1:22" ht="14.25" customHeight="1" x14ac:dyDescent="0.2">
      <c r="A77" s="95" t="s">
        <v>40</v>
      </c>
      <c r="B77" s="96">
        <v>43354</v>
      </c>
      <c r="C77" s="97">
        <v>41</v>
      </c>
      <c r="D77" s="104">
        <v>632003</v>
      </c>
      <c r="E77" s="119" t="s">
        <v>9</v>
      </c>
      <c r="F77" s="100">
        <v>742.68</v>
      </c>
      <c r="G77" s="285">
        <v>808.17</v>
      </c>
      <c r="H77" s="283">
        <v>618.36</v>
      </c>
      <c r="I77" s="102">
        <f>700*1.15</f>
        <v>804.99999999999989</v>
      </c>
      <c r="J77" s="100">
        <f>700*1.15</f>
        <v>804.99999999999989</v>
      </c>
      <c r="K77" s="285">
        <v>58.45</v>
      </c>
      <c r="L77" s="103"/>
      <c r="M77" s="59"/>
      <c r="N77" s="60"/>
      <c r="U77" s="238"/>
      <c r="V77" s="59"/>
    </row>
    <row r="78" spans="1:22" ht="14.25" customHeight="1" x14ac:dyDescent="0.2">
      <c r="A78" s="95" t="s">
        <v>40</v>
      </c>
      <c r="B78" s="96">
        <v>43719</v>
      </c>
      <c r="C78" s="97">
        <v>46</v>
      </c>
      <c r="D78" s="104">
        <v>632003</v>
      </c>
      <c r="E78" s="119" t="s">
        <v>9</v>
      </c>
      <c r="F78" s="100">
        <v>0</v>
      </c>
      <c r="G78" s="285">
        <v>1135.32</v>
      </c>
      <c r="H78" s="283">
        <v>1.5</v>
      </c>
      <c r="I78" s="257">
        <f>400*1.15</f>
        <v>459.99999999999994</v>
      </c>
      <c r="J78" s="100">
        <f>400*1.15</f>
        <v>459.99999999999994</v>
      </c>
      <c r="K78" s="285">
        <v>460</v>
      </c>
      <c r="L78" s="103"/>
      <c r="M78" s="59"/>
      <c r="O78" s="60"/>
      <c r="S78" s="60"/>
      <c r="U78" s="238"/>
      <c r="V78" s="59"/>
    </row>
    <row r="79" spans="1:22" ht="14.25" customHeight="1" x14ac:dyDescent="0.2">
      <c r="A79" s="95" t="s">
        <v>40</v>
      </c>
      <c r="B79" s="96">
        <v>43719</v>
      </c>
      <c r="C79" s="97">
        <v>42</v>
      </c>
      <c r="D79" s="104">
        <v>632003</v>
      </c>
      <c r="E79" s="119" t="s">
        <v>9</v>
      </c>
      <c r="F79" s="100">
        <v>956.38</v>
      </c>
      <c r="G79" s="285">
        <v>83.68</v>
      </c>
      <c r="H79" s="283"/>
      <c r="I79" s="102"/>
      <c r="J79" s="100"/>
      <c r="K79" s="285"/>
      <c r="L79" s="103"/>
      <c r="M79" s="59"/>
      <c r="U79" s="238"/>
      <c r="V79" s="59"/>
    </row>
    <row r="80" spans="1:22" ht="14.25" customHeight="1" x14ac:dyDescent="0.2">
      <c r="A80" s="95" t="s">
        <v>42</v>
      </c>
      <c r="B80" s="96" t="s">
        <v>70</v>
      </c>
      <c r="C80" s="97">
        <v>41</v>
      </c>
      <c r="D80" s="104">
        <v>632003</v>
      </c>
      <c r="E80" s="119" t="s">
        <v>9</v>
      </c>
      <c r="F80" s="100">
        <v>225.5</v>
      </c>
      <c r="G80" s="100">
        <v>74.55</v>
      </c>
      <c r="H80" s="289">
        <v>1.5</v>
      </c>
      <c r="I80" s="229">
        <v>229.83</v>
      </c>
      <c r="J80" s="100">
        <v>229.83</v>
      </c>
      <c r="K80" s="100">
        <v>17.05</v>
      </c>
      <c r="L80" s="103"/>
      <c r="M80" s="59"/>
      <c r="U80" s="238"/>
      <c r="V80" s="59"/>
    </row>
    <row r="81" spans="1:22" ht="14.25" customHeight="1" x14ac:dyDescent="0.2">
      <c r="A81" s="95" t="s">
        <v>42</v>
      </c>
      <c r="B81" s="96" t="s">
        <v>70</v>
      </c>
      <c r="C81" s="97">
        <v>46</v>
      </c>
      <c r="D81" s="104">
        <v>632003</v>
      </c>
      <c r="E81" s="119" t="s">
        <v>9</v>
      </c>
      <c r="F81" s="112"/>
      <c r="G81" s="112"/>
      <c r="H81" s="289">
        <v>3</v>
      </c>
      <c r="I81" s="230">
        <v>345</v>
      </c>
      <c r="J81" s="112">
        <f>300*1.15</f>
        <v>345</v>
      </c>
      <c r="K81" s="112"/>
      <c r="L81" s="103"/>
      <c r="M81" s="59"/>
      <c r="U81" s="238"/>
      <c r="V81" s="59"/>
    </row>
    <row r="82" spans="1:22" ht="14.25" customHeight="1" x14ac:dyDescent="0.2">
      <c r="A82" s="109" t="s">
        <v>42</v>
      </c>
      <c r="B82" s="110" t="s">
        <v>70</v>
      </c>
      <c r="C82" s="111">
        <v>42</v>
      </c>
      <c r="D82" s="126">
        <v>632003</v>
      </c>
      <c r="E82" s="127" t="s">
        <v>9</v>
      </c>
      <c r="F82" s="100">
        <v>291.5</v>
      </c>
      <c r="G82" s="285"/>
      <c r="H82" s="283"/>
      <c r="I82" s="258"/>
      <c r="J82" s="100"/>
      <c r="K82" s="285"/>
      <c r="L82" s="103"/>
      <c r="M82" s="59"/>
      <c r="U82" s="238"/>
      <c r="V82" s="59"/>
    </row>
    <row r="83" spans="1:22" ht="14.25" customHeight="1" x14ac:dyDescent="0.2">
      <c r="A83" s="95" t="s">
        <v>39</v>
      </c>
      <c r="B83" s="96">
        <v>43106</v>
      </c>
      <c r="C83" s="97">
        <v>46</v>
      </c>
      <c r="D83" s="104">
        <v>632003</v>
      </c>
      <c r="E83" s="119" t="s">
        <v>9</v>
      </c>
      <c r="F83" s="100">
        <v>0</v>
      </c>
      <c r="G83" s="285">
        <v>0</v>
      </c>
      <c r="H83" s="283"/>
      <c r="I83" s="258">
        <v>115</v>
      </c>
      <c r="J83" s="100">
        <v>115</v>
      </c>
      <c r="K83" s="285">
        <v>115</v>
      </c>
      <c r="L83" s="103"/>
      <c r="M83" s="59"/>
      <c r="U83" s="238"/>
      <c r="V83" s="59"/>
    </row>
    <row r="84" spans="1:22" s="60" customFormat="1" ht="14.25" customHeight="1" x14ac:dyDescent="0.2">
      <c r="A84" s="88"/>
      <c r="B84" s="89"/>
      <c r="C84" s="90"/>
      <c r="D84" s="105">
        <v>633</v>
      </c>
      <c r="E84" s="106" t="s">
        <v>10</v>
      </c>
      <c r="F84" s="107">
        <f t="shared" ref="F84:G84" si="40">F88++F110+F113+F119+F126+F133+F137+F146+F161+F85+F107+F158</f>
        <v>66723.3</v>
      </c>
      <c r="G84" s="107">
        <f t="shared" si="40"/>
        <v>93626.62000000001</v>
      </c>
      <c r="H84" s="107">
        <f>H88++H110+H113+H119+H126+H133+H137+H146+H161+H85+H107+H158</f>
        <v>69082.539999999994</v>
      </c>
      <c r="I84" s="117">
        <f t="shared" ref="I84" si="41">I85+I88+I107+I110+I113+I119+I126+I133+I137+I146+I158+I161</f>
        <v>97189.56</v>
      </c>
      <c r="J84" s="117">
        <f t="shared" ref="J84" si="42">J85+J88+J107+J110+J113+J119+J126+J133+J137+J146+J158+J161</f>
        <v>97189.56</v>
      </c>
      <c r="K84" s="117">
        <f>K85+K88+K107+K110+K113+K119+K126+K133+K137+K146+K158+K161</f>
        <v>86268.710000000021</v>
      </c>
      <c r="L84" s="103"/>
      <c r="M84" s="59"/>
      <c r="N84" s="59"/>
      <c r="O84" s="59"/>
      <c r="Q84" s="240"/>
      <c r="R84" s="240"/>
      <c r="S84" s="59"/>
      <c r="U84" s="239"/>
    </row>
    <row r="85" spans="1:22" ht="14.25" customHeight="1" x14ac:dyDescent="0.2">
      <c r="A85" s="95"/>
      <c r="B85" s="96"/>
      <c r="C85" s="97"/>
      <c r="D85" s="104">
        <v>633003</v>
      </c>
      <c r="E85" s="119" t="s">
        <v>107</v>
      </c>
      <c r="F85" s="100">
        <v>0</v>
      </c>
      <c r="G85" s="100">
        <f t="shared" ref="G85" si="43">SUM(G86:G87)</f>
        <v>276</v>
      </c>
      <c r="H85" s="285">
        <f t="shared" ref="H85" si="44">SUM(H86:H87)</f>
        <v>2076</v>
      </c>
      <c r="I85" s="229">
        <v>0</v>
      </c>
      <c r="J85" s="229">
        <v>0</v>
      </c>
      <c r="K85" s="229">
        <v>0</v>
      </c>
      <c r="L85" s="94"/>
      <c r="M85" s="59"/>
      <c r="U85" s="238"/>
      <c r="V85" s="59"/>
    </row>
    <row r="86" spans="1:22" ht="14.25" customHeight="1" x14ac:dyDescent="0.2">
      <c r="A86" s="95" t="s">
        <v>41</v>
      </c>
      <c r="B86" s="96">
        <v>43531</v>
      </c>
      <c r="C86" s="97">
        <v>41</v>
      </c>
      <c r="D86" s="104">
        <v>633003</v>
      </c>
      <c r="E86" s="119" t="s">
        <v>107</v>
      </c>
      <c r="F86" s="100">
        <v>0</v>
      </c>
      <c r="G86" s="285">
        <v>276</v>
      </c>
      <c r="H86" s="283">
        <v>1200</v>
      </c>
      <c r="I86" s="257">
        <v>0</v>
      </c>
      <c r="J86" s="257">
        <v>0</v>
      </c>
      <c r="K86" s="229"/>
      <c r="L86" s="103"/>
      <c r="M86" s="59"/>
      <c r="U86" s="238"/>
      <c r="V86" s="59"/>
    </row>
    <row r="87" spans="1:22" ht="14.25" customHeight="1" x14ac:dyDescent="0.2">
      <c r="A87" s="129" t="s">
        <v>39</v>
      </c>
      <c r="B87" s="96">
        <v>43471</v>
      </c>
      <c r="C87" s="97">
        <v>41</v>
      </c>
      <c r="D87" s="104">
        <v>633003</v>
      </c>
      <c r="E87" s="119" t="s">
        <v>107</v>
      </c>
      <c r="F87" s="100">
        <v>0</v>
      </c>
      <c r="G87" s="100">
        <v>0</v>
      </c>
      <c r="H87" s="283">
        <v>876</v>
      </c>
      <c r="I87" s="257">
        <v>0</v>
      </c>
      <c r="J87" s="257">
        <v>0</v>
      </c>
      <c r="K87" s="229"/>
      <c r="L87" s="103"/>
      <c r="M87" s="59"/>
      <c r="U87" s="238"/>
      <c r="V87" s="59"/>
    </row>
    <row r="88" spans="1:22" ht="12.75" customHeight="1" x14ac:dyDescent="0.2">
      <c r="A88" s="62"/>
      <c r="B88" s="118"/>
      <c r="C88" s="111"/>
      <c r="D88" s="104">
        <v>633006</v>
      </c>
      <c r="E88" s="119" t="s">
        <v>11</v>
      </c>
      <c r="F88" s="100">
        <v>50177.55</v>
      </c>
      <c r="G88" s="100">
        <f t="shared" ref="G88" si="45">SUM(G89:G106)</f>
        <v>76958.899999999994</v>
      </c>
      <c r="H88" s="285">
        <f t="shared" ref="H88" si="46">SUM(H89:H106)</f>
        <v>59946.529999999992</v>
      </c>
      <c r="I88" s="228">
        <f>SUM(I89:I106)</f>
        <v>76910</v>
      </c>
      <c r="J88" s="228">
        <f>SUM(J89:J106)</f>
        <v>76910</v>
      </c>
      <c r="K88" s="228">
        <f>SUM(K89:K106)</f>
        <v>72044.000000000015</v>
      </c>
      <c r="L88" s="103"/>
      <c r="M88" s="59"/>
      <c r="U88" s="238"/>
      <c r="V88" s="59"/>
    </row>
    <row r="89" spans="1:22" ht="15" customHeight="1" x14ac:dyDescent="0.2">
      <c r="A89" s="95" t="s">
        <v>38</v>
      </c>
      <c r="B89" s="96">
        <v>43224</v>
      </c>
      <c r="C89" s="97">
        <v>42</v>
      </c>
      <c r="D89" s="104">
        <v>633006</v>
      </c>
      <c r="E89" s="119" t="s">
        <v>11</v>
      </c>
      <c r="F89" s="100">
        <v>99.25</v>
      </c>
      <c r="G89" s="285">
        <v>0</v>
      </c>
      <c r="H89" s="283">
        <v>0</v>
      </c>
      <c r="I89" s="101">
        <f>1300*1.15</f>
        <v>1494.9999999999998</v>
      </c>
      <c r="J89" s="101">
        <f>1300*1.15</f>
        <v>1494.9999999999998</v>
      </c>
      <c r="K89" s="101">
        <v>290.57</v>
      </c>
      <c r="L89" s="103"/>
      <c r="M89" s="59"/>
      <c r="U89" s="238"/>
      <c r="V89" s="59"/>
    </row>
    <row r="90" spans="1:22" ht="15" customHeight="1" x14ac:dyDescent="0.2">
      <c r="A90" s="95" t="s">
        <v>39</v>
      </c>
      <c r="B90" s="96">
        <v>43471</v>
      </c>
      <c r="C90" s="97">
        <v>41</v>
      </c>
      <c r="D90" s="104">
        <v>633006</v>
      </c>
      <c r="E90" s="127" t="s">
        <v>171</v>
      </c>
      <c r="F90" s="100">
        <v>13933.81</v>
      </c>
      <c r="G90" s="285">
        <v>35828.39</v>
      </c>
      <c r="H90" s="283">
        <v>20387.84</v>
      </c>
      <c r="I90" s="259">
        <v>21250</v>
      </c>
      <c r="J90" s="259">
        <v>21250</v>
      </c>
      <c r="K90" s="121">
        <v>21250</v>
      </c>
      <c r="L90" s="103"/>
      <c r="M90" s="59"/>
      <c r="U90" s="238"/>
      <c r="V90" s="59"/>
    </row>
    <row r="91" spans="1:22" ht="15" customHeight="1" x14ac:dyDescent="0.2">
      <c r="A91" s="95" t="s">
        <v>39</v>
      </c>
      <c r="B91" s="96">
        <v>43106</v>
      </c>
      <c r="C91" s="97">
        <v>46</v>
      </c>
      <c r="D91" s="104">
        <v>633006</v>
      </c>
      <c r="E91" s="119" t="s">
        <v>11</v>
      </c>
      <c r="F91" s="100">
        <v>3709.43</v>
      </c>
      <c r="G91" s="285">
        <v>4905.6000000000004</v>
      </c>
      <c r="H91" s="283">
        <v>7490.81</v>
      </c>
      <c r="I91" s="101">
        <f>6500*1.15</f>
        <v>7474.9999999999991</v>
      </c>
      <c r="J91" s="101">
        <f>6500*1.15</f>
        <v>7474.9999999999991</v>
      </c>
      <c r="K91" s="101">
        <v>12558.99</v>
      </c>
      <c r="L91" s="103"/>
      <c r="M91" s="59"/>
      <c r="U91" s="238"/>
      <c r="V91" s="59"/>
    </row>
    <row r="92" spans="1:22" ht="15" customHeight="1" x14ac:dyDescent="0.2">
      <c r="A92" s="95" t="s">
        <v>39</v>
      </c>
      <c r="B92" s="96">
        <v>43471</v>
      </c>
      <c r="C92" s="97">
        <v>42</v>
      </c>
      <c r="D92" s="104">
        <v>633006</v>
      </c>
      <c r="E92" s="119" t="s">
        <v>11</v>
      </c>
      <c r="F92" s="100">
        <v>1394.06</v>
      </c>
      <c r="G92" s="285">
        <v>1375.59</v>
      </c>
      <c r="H92" s="283">
        <v>2281.42</v>
      </c>
      <c r="I92" s="101">
        <f>1000*1.15</f>
        <v>1150</v>
      </c>
      <c r="J92" s="101">
        <f>1000*1.15</f>
        <v>1150</v>
      </c>
      <c r="K92" s="101">
        <v>1145.29</v>
      </c>
      <c r="L92" s="103"/>
      <c r="M92" s="59"/>
      <c r="U92" s="238"/>
      <c r="V92" s="59"/>
    </row>
    <row r="93" spans="1:22" ht="15" customHeight="1" x14ac:dyDescent="0.2">
      <c r="A93" s="95" t="s">
        <v>41</v>
      </c>
      <c r="B93" s="96">
        <v>43106</v>
      </c>
      <c r="C93" s="97">
        <v>46</v>
      </c>
      <c r="D93" s="104">
        <v>633006</v>
      </c>
      <c r="E93" s="119" t="s">
        <v>11</v>
      </c>
      <c r="F93" s="100">
        <v>0</v>
      </c>
      <c r="G93" s="285">
        <v>0</v>
      </c>
      <c r="H93" s="283"/>
      <c r="I93" s="101">
        <v>0</v>
      </c>
      <c r="J93" s="101">
        <v>0</v>
      </c>
      <c r="K93" s="101"/>
      <c r="L93" s="103"/>
      <c r="M93" s="59"/>
      <c r="U93" s="238"/>
      <c r="V93" s="59"/>
    </row>
    <row r="94" spans="1:22" ht="15" customHeight="1" x14ac:dyDescent="0.2">
      <c r="A94" s="95" t="s">
        <v>41</v>
      </c>
      <c r="B94" s="96">
        <v>43166</v>
      </c>
      <c r="C94" s="111">
        <v>41</v>
      </c>
      <c r="D94" s="104">
        <v>633006</v>
      </c>
      <c r="E94" s="119" t="s">
        <v>11</v>
      </c>
      <c r="F94" s="100">
        <v>2611.1799999999998</v>
      </c>
      <c r="G94" s="285">
        <v>1966.29</v>
      </c>
      <c r="H94" s="283">
        <v>3637.5</v>
      </c>
      <c r="I94" s="258">
        <v>3795</v>
      </c>
      <c r="J94" s="258">
        <f>3300*1.15</f>
        <v>3794.9999999999995</v>
      </c>
      <c r="K94" s="101">
        <v>1102.83</v>
      </c>
      <c r="L94" s="103"/>
      <c r="M94" s="59"/>
      <c r="U94" s="238"/>
      <c r="V94" s="59"/>
    </row>
    <row r="95" spans="1:22" ht="15" customHeight="1" x14ac:dyDescent="0.2">
      <c r="A95" s="95" t="s">
        <v>40</v>
      </c>
      <c r="B95" s="96">
        <v>43354</v>
      </c>
      <c r="C95" s="97">
        <v>42</v>
      </c>
      <c r="D95" s="104">
        <v>633006</v>
      </c>
      <c r="E95" s="119" t="s">
        <v>11</v>
      </c>
      <c r="F95" s="100">
        <v>2393.83</v>
      </c>
      <c r="G95" s="285">
        <v>483.66</v>
      </c>
      <c r="H95" s="283">
        <v>368.88</v>
      </c>
      <c r="I95" s="101">
        <f>1500*1.15</f>
        <v>1724.9999999999998</v>
      </c>
      <c r="J95" s="101">
        <f>1500*1.15</f>
        <v>1724.9999999999998</v>
      </c>
      <c r="K95" s="101">
        <v>292.60000000000002</v>
      </c>
      <c r="L95" s="103"/>
      <c r="M95" s="59"/>
      <c r="U95" s="238"/>
      <c r="V95" s="59"/>
    </row>
    <row r="96" spans="1:22" ht="15" customHeight="1" x14ac:dyDescent="0.2">
      <c r="A96" s="95" t="s">
        <v>40</v>
      </c>
      <c r="B96" s="96">
        <v>43106</v>
      </c>
      <c r="C96" s="97">
        <v>42</v>
      </c>
      <c r="D96" s="104">
        <v>633006</v>
      </c>
      <c r="E96" s="119" t="s">
        <v>11</v>
      </c>
      <c r="F96" s="100">
        <v>0</v>
      </c>
      <c r="G96" s="285">
        <v>0</v>
      </c>
      <c r="H96" s="283">
        <v>671.2</v>
      </c>
      <c r="I96" s="101">
        <v>0</v>
      </c>
      <c r="J96" s="101">
        <v>0</v>
      </c>
      <c r="K96" s="101"/>
      <c r="L96" s="103"/>
      <c r="M96" s="59"/>
      <c r="U96" s="238"/>
      <c r="V96" s="59"/>
    </row>
    <row r="97" spans="1:22" ht="15" customHeight="1" x14ac:dyDescent="0.2">
      <c r="A97" s="95" t="s">
        <v>40</v>
      </c>
      <c r="B97" s="96">
        <v>43354</v>
      </c>
      <c r="C97" s="97">
        <v>41</v>
      </c>
      <c r="D97" s="104">
        <v>633006</v>
      </c>
      <c r="E97" s="119" t="s">
        <v>11</v>
      </c>
      <c r="F97" s="100">
        <v>22045.84</v>
      </c>
      <c r="G97" s="285">
        <v>28193.18</v>
      </c>
      <c r="H97" s="283">
        <v>12405.54</v>
      </c>
      <c r="I97" s="258">
        <v>28750</v>
      </c>
      <c r="J97" s="258">
        <f>25000*1.15</f>
        <v>28749.999999999996</v>
      </c>
      <c r="K97" s="101">
        <v>24537.57</v>
      </c>
      <c r="L97" s="103"/>
      <c r="M97" s="59"/>
      <c r="U97" s="238"/>
      <c r="V97" s="59"/>
    </row>
    <row r="98" spans="1:22" ht="15" customHeight="1" x14ac:dyDescent="0.2">
      <c r="A98" s="95" t="s">
        <v>42</v>
      </c>
      <c r="B98" s="130" t="s">
        <v>70</v>
      </c>
      <c r="C98" s="97">
        <v>41</v>
      </c>
      <c r="D98" s="104">
        <v>633006</v>
      </c>
      <c r="E98" s="119" t="s">
        <v>11</v>
      </c>
      <c r="F98" s="100">
        <v>296.77999999999997</v>
      </c>
      <c r="G98" s="285">
        <v>0</v>
      </c>
      <c r="H98" s="283">
        <v>126.8</v>
      </c>
      <c r="I98" s="258">
        <v>345</v>
      </c>
      <c r="J98" s="258">
        <f>300*1.15</f>
        <v>345</v>
      </c>
      <c r="K98" s="101">
        <v>127.15</v>
      </c>
      <c r="L98" s="103"/>
      <c r="M98" s="59"/>
      <c r="U98" s="238"/>
      <c r="V98" s="59"/>
    </row>
    <row r="99" spans="1:22" ht="15" customHeight="1" x14ac:dyDescent="0.2">
      <c r="A99" s="95" t="s">
        <v>41</v>
      </c>
      <c r="B99" s="96">
        <v>43166</v>
      </c>
      <c r="C99" s="97">
        <v>46</v>
      </c>
      <c r="D99" s="104">
        <v>633006</v>
      </c>
      <c r="E99" s="119" t="s">
        <v>11</v>
      </c>
      <c r="F99" s="100">
        <v>0</v>
      </c>
      <c r="G99" s="285">
        <v>0</v>
      </c>
      <c r="H99" s="283">
        <v>149.84</v>
      </c>
      <c r="I99" s="101">
        <f>4000*1.15</f>
        <v>4600</v>
      </c>
      <c r="J99" s="101">
        <f>4000*1.15</f>
        <v>4600</v>
      </c>
      <c r="K99" s="101">
        <v>354.12</v>
      </c>
      <c r="L99" s="103"/>
      <c r="M99" s="59"/>
      <c r="U99" s="238"/>
      <c r="V99" s="59"/>
    </row>
    <row r="100" spans="1:22" ht="15" customHeight="1" x14ac:dyDescent="0.2">
      <c r="A100" s="95" t="s">
        <v>40</v>
      </c>
      <c r="B100" s="96">
        <v>43354</v>
      </c>
      <c r="C100" s="97">
        <v>46</v>
      </c>
      <c r="D100" s="104">
        <v>633006</v>
      </c>
      <c r="E100" s="119" t="s">
        <v>11</v>
      </c>
      <c r="F100" s="100">
        <v>3110.38</v>
      </c>
      <c r="G100" s="285">
        <v>3953.89</v>
      </c>
      <c r="H100" s="283">
        <v>11244.28</v>
      </c>
      <c r="I100" s="101">
        <f>5000*1.15</f>
        <v>5750</v>
      </c>
      <c r="J100" s="101">
        <f>5000*1.15</f>
        <v>5750</v>
      </c>
      <c r="K100" s="101">
        <v>10167.73</v>
      </c>
      <c r="L100" s="103"/>
      <c r="M100" s="59"/>
      <c r="U100" s="238"/>
      <c r="V100" s="59"/>
    </row>
    <row r="101" spans="1:22" ht="15" customHeight="1" x14ac:dyDescent="0.2">
      <c r="A101" s="95" t="s">
        <v>41</v>
      </c>
      <c r="B101" s="96">
        <v>43166</v>
      </c>
      <c r="C101" s="97">
        <v>41</v>
      </c>
      <c r="D101" s="104">
        <v>633006</v>
      </c>
      <c r="E101" s="119" t="s">
        <v>11</v>
      </c>
      <c r="F101" s="100">
        <v>0</v>
      </c>
      <c r="G101" s="285">
        <v>0</v>
      </c>
      <c r="H101" s="283">
        <v>0</v>
      </c>
      <c r="I101" s="258">
        <v>0</v>
      </c>
      <c r="J101" s="258">
        <v>0</v>
      </c>
      <c r="K101" s="101"/>
      <c r="L101" s="103"/>
      <c r="M101" s="59"/>
      <c r="U101" s="238"/>
      <c r="V101" s="59"/>
    </row>
    <row r="102" spans="1:22" ht="15" customHeight="1" x14ac:dyDescent="0.2">
      <c r="A102" s="95" t="s">
        <v>40</v>
      </c>
      <c r="B102" s="96">
        <v>43354</v>
      </c>
      <c r="C102" s="97">
        <v>41</v>
      </c>
      <c r="D102" s="104">
        <v>633006</v>
      </c>
      <c r="E102" s="119" t="s">
        <v>11</v>
      </c>
      <c r="F102" s="100">
        <v>0</v>
      </c>
      <c r="G102" s="285">
        <v>0</v>
      </c>
      <c r="H102" s="283"/>
      <c r="I102" s="258">
        <v>0</v>
      </c>
      <c r="J102" s="258">
        <v>0</v>
      </c>
      <c r="K102" s="101"/>
      <c r="L102" s="103"/>
      <c r="M102" s="59"/>
      <c r="U102" s="238"/>
      <c r="V102" s="59"/>
    </row>
    <row r="103" spans="1:22" ht="15" customHeight="1" x14ac:dyDescent="0.2">
      <c r="A103" s="95" t="s">
        <v>38</v>
      </c>
      <c r="B103" s="96">
        <v>43589</v>
      </c>
      <c r="C103" s="111">
        <v>46</v>
      </c>
      <c r="D103" s="104">
        <v>633006</v>
      </c>
      <c r="E103" s="119" t="s">
        <v>11</v>
      </c>
      <c r="F103" s="100">
        <v>263.89</v>
      </c>
      <c r="G103" s="285">
        <v>147.72</v>
      </c>
      <c r="H103" s="283">
        <v>293.32</v>
      </c>
      <c r="I103" s="101">
        <f>500*1.15</f>
        <v>575</v>
      </c>
      <c r="J103" s="101">
        <f>500*1.15</f>
        <v>575</v>
      </c>
      <c r="K103" s="101">
        <v>203.05</v>
      </c>
      <c r="L103" s="103"/>
      <c r="M103" s="59"/>
      <c r="U103" s="238"/>
      <c r="V103" s="59"/>
    </row>
    <row r="104" spans="1:22" ht="15" customHeight="1" x14ac:dyDescent="0.2">
      <c r="A104" s="95" t="s">
        <v>38</v>
      </c>
      <c r="B104" s="96">
        <v>44320</v>
      </c>
      <c r="C104" s="111">
        <v>41</v>
      </c>
      <c r="D104" s="104">
        <v>633006</v>
      </c>
      <c r="E104" s="119" t="s">
        <v>11</v>
      </c>
      <c r="F104" s="100">
        <v>227.12</v>
      </c>
      <c r="G104" s="285"/>
      <c r="H104" s="283">
        <v>58.7</v>
      </c>
      <c r="I104" s="258">
        <v>0</v>
      </c>
      <c r="J104" s="258">
        <v>0</v>
      </c>
      <c r="K104" s="101">
        <v>14.1</v>
      </c>
      <c r="L104" s="103"/>
      <c r="M104" s="59"/>
      <c r="U104" s="238"/>
      <c r="V104" s="59"/>
    </row>
    <row r="105" spans="1:22" ht="15" customHeight="1" x14ac:dyDescent="0.2">
      <c r="A105" s="95" t="s">
        <v>38</v>
      </c>
      <c r="B105" s="96">
        <v>43589</v>
      </c>
      <c r="C105" s="111">
        <v>41</v>
      </c>
      <c r="D105" s="104">
        <v>633006</v>
      </c>
      <c r="E105" s="119" t="s">
        <v>11</v>
      </c>
      <c r="F105" s="100"/>
      <c r="G105" s="285"/>
      <c r="H105" s="283"/>
      <c r="I105" s="258"/>
      <c r="J105" s="258"/>
      <c r="K105" s="101"/>
      <c r="L105" s="103"/>
      <c r="M105" s="59"/>
      <c r="U105" s="238"/>
      <c r="V105" s="59"/>
    </row>
    <row r="106" spans="1:22" ht="15" customHeight="1" x14ac:dyDescent="0.2">
      <c r="A106" s="95" t="s">
        <v>41</v>
      </c>
      <c r="B106" s="96">
        <v>43531</v>
      </c>
      <c r="C106" s="97">
        <v>42</v>
      </c>
      <c r="D106" s="104">
        <v>633006</v>
      </c>
      <c r="E106" s="119" t="s">
        <v>11</v>
      </c>
      <c r="F106" s="100">
        <v>91.98</v>
      </c>
      <c r="G106" s="285">
        <v>104.58</v>
      </c>
      <c r="H106" s="283">
        <v>830.4</v>
      </c>
      <c r="I106" s="101">
        <v>0</v>
      </c>
      <c r="J106" s="101">
        <v>0</v>
      </c>
      <c r="K106" s="101"/>
      <c r="L106" s="103"/>
      <c r="M106" s="59"/>
      <c r="U106" s="238"/>
      <c r="V106" s="59"/>
    </row>
    <row r="107" spans="1:22" x14ac:dyDescent="0.2">
      <c r="A107" s="95"/>
      <c r="B107" s="96"/>
      <c r="C107" s="97"/>
      <c r="D107" s="104">
        <v>633007</v>
      </c>
      <c r="E107" s="119" t="s">
        <v>112</v>
      </c>
      <c r="F107" s="112">
        <f t="shared" ref="F107:G107" si="47">SUM(F108:F109)</f>
        <v>0</v>
      </c>
      <c r="G107" s="112">
        <f t="shared" si="47"/>
        <v>353.7</v>
      </c>
      <c r="H107" s="289">
        <f t="shared" ref="H107" si="48">SUM(H108:H109)</f>
        <v>0</v>
      </c>
      <c r="I107" s="101">
        <v>0</v>
      </c>
      <c r="J107" s="101">
        <v>0</v>
      </c>
      <c r="K107" s="101">
        <v>0</v>
      </c>
      <c r="L107" s="103"/>
      <c r="M107" s="59"/>
      <c r="U107" s="238"/>
      <c r="V107" s="59"/>
    </row>
    <row r="108" spans="1:22" ht="15" customHeight="1" x14ac:dyDescent="0.2">
      <c r="A108" s="95" t="s">
        <v>40</v>
      </c>
      <c r="B108" s="96">
        <v>43719</v>
      </c>
      <c r="C108" s="97">
        <v>41</v>
      </c>
      <c r="D108" s="104">
        <v>633007</v>
      </c>
      <c r="E108" s="119" t="s">
        <v>112</v>
      </c>
      <c r="F108" s="100">
        <v>0</v>
      </c>
      <c r="G108" s="285">
        <v>353.7</v>
      </c>
      <c r="H108" s="283"/>
      <c r="I108" s="258">
        <v>0</v>
      </c>
      <c r="J108" s="258">
        <v>0</v>
      </c>
      <c r="K108" s="101"/>
      <c r="L108" s="103"/>
      <c r="M108" s="59"/>
      <c r="U108" s="238"/>
      <c r="V108" s="59"/>
    </row>
    <row r="109" spans="1:22" ht="15" customHeight="1" x14ac:dyDescent="0.2">
      <c r="A109" s="95" t="s">
        <v>39</v>
      </c>
      <c r="B109" s="96">
        <v>43471</v>
      </c>
      <c r="C109" s="97">
        <v>41</v>
      </c>
      <c r="D109" s="104">
        <v>633007</v>
      </c>
      <c r="E109" s="119" t="s">
        <v>112</v>
      </c>
      <c r="F109" s="100">
        <v>0</v>
      </c>
      <c r="G109" s="100">
        <v>0</v>
      </c>
      <c r="H109" s="283">
        <v>0</v>
      </c>
      <c r="I109" s="258">
        <v>0</v>
      </c>
      <c r="J109" s="258">
        <v>0</v>
      </c>
      <c r="K109" s="101"/>
      <c r="L109" s="103"/>
      <c r="M109" s="59"/>
      <c r="U109" s="238"/>
      <c r="V109" s="59"/>
    </row>
    <row r="110" spans="1:22" x14ac:dyDescent="0.2">
      <c r="A110" s="95"/>
      <c r="B110" s="96"/>
      <c r="C110" s="97"/>
      <c r="D110" s="104">
        <v>633005</v>
      </c>
      <c r="E110" s="119" t="s">
        <v>57</v>
      </c>
      <c r="F110" s="100">
        <f t="shared" ref="F110:G110" si="49">SUM(F111:F112)</f>
        <v>0</v>
      </c>
      <c r="G110" s="100">
        <f t="shared" si="49"/>
        <v>0</v>
      </c>
      <c r="H110" s="285">
        <f t="shared" ref="H110" si="50">SUM(H111:H112)</f>
        <v>0</v>
      </c>
      <c r="I110" s="101">
        <v>0</v>
      </c>
      <c r="J110" s="101">
        <v>0</v>
      </c>
      <c r="K110" s="101">
        <v>0</v>
      </c>
      <c r="L110" s="103"/>
      <c r="M110" s="59"/>
      <c r="U110" s="238"/>
      <c r="V110" s="59"/>
    </row>
    <row r="111" spans="1:22" ht="15" customHeight="1" x14ac:dyDescent="0.2">
      <c r="A111" s="95" t="s">
        <v>40</v>
      </c>
      <c r="B111" s="96">
        <v>43719</v>
      </c>
      <c r="C111" s="97">
        <v>41</v>
      </c>
      <c r="D111" s="104">
        <v>633005</v>
      </c>
      <c r="E111" s="119" t="s">
        <v>57</v>
      </c>
      <c r="F111" s="100"/>
      <c r="G111" s="100"/>
      <c r="H111" s="283"/>
      <c r="I111" s="258">
        <v>0</v>
      </c>
      <c r="J111" s="258">
        <v>0</v>
      </c>
      <c r="K111" s="101"/>
      <c r="L111" s="103"/>
      <c r="M111" s="59"/>
      <c r="U111" s="238"/>
      <c r="V111" s="59"/>
    </row>
    <row r="112" spans="1:22" ht="15" customHeight="1" x14ac:dyDescent="0.2">
      <c r="A112" s="95" t="s">
        <v>41</v>
      </c>
      <c r="B112" s="96">
        <v>43166</v>
      </c>
      <c r="C112" s="97">
        <v>46</v>
      </c>
      <c r="D112" s="104">
        <v>633005</v>
      </c>
      <c r="E112" s="119" t="s">
        <v>57</v>
      </c>
      <c r="F112" s="100">
        <v>0</v>
      </c>
      <c r="G112" s="100">
        <v>0</v>
      </c>
      <c r="H112" s="283"/>
      <c r="I112" s="101">
        <v>0</v>
      </c>
      <c r="J112" s="101">
        <v>0</v>
      </c>
      <c r="K112" s="101"/>
      <c r="L112" s="103"/>
      <c r="M112" s="59"/>
      <c r="U112" s="238"/>
      <c r="V112" s="59"/>
    </row>
    <row r="113" spans="1:22" x14ac:dyDescent="0.2">
      <c r="A113" s="95"/>
      <c r="B113" s="118"/>
      <c r="C113" s="97"/>
      <c r="D113" s="104">
        <v>633001</v>
      </c>
      <c r="E113" s="119" t="s">
        <v>37</v>
      </c>
      <c r="F113" s="112">
        <f t="shared" ref="F113:G113" si="51">SUM(F114:F118)</f>
        <v>63.6</v>
      </c>
      <c r="G113" s="112">
        <f t="shared" si="51"/>
        <v>664.9</v>
      </c>
      <c r="H113" s="289">
        <f t="shared" ref="H113" si="52">SUM(H114:H118)</f>
        <v>0</v>
      </c>
      <c r="I113" s="101">
        <f>SUM(I114:I118)</f>
        <v>345</v>
      </c>
      <c r="J113" s="101">
        <f>SUM(J114:J118)</f>
        <v>345</v>
      </c>
      <c r="K113" s="101">
        <f>SUM(K114:K118)</f>
        <v>177.6</v>
      </c>
      <c r="L113" s="103"/>
      <c r="M113" s="59"/>
      <c r="U113" s="238"/>
      <c r="V113" s="59"/>
    </row>
    <row r="114" spans="1:22" ht="15" customHeight="1" x14ac:dyDescent="0.2">
      <c r="A114" s="95" t="s">
        <v>38</v>
      </c>
      <c r="B114" s="96">
        <v>43224</v>
      </c>
      <c r="C114" s="97">
        <v>41</v>
      </c>
      <c r="D114" s="104">
        <v>633001</v>
      </c>
      <c r="E114" s="119" t="s">
        <v>37</v>
      </c>
      <c r="F114" s="120">
        <v>63.6</v>
      </c>
      <c r="G114" s="288"/>
      <c r="H114" s="287"/>
      <c r="I114" s="258">
        <v>0</v>
      </c>
      <c r="J114" s="258">
        <v>0</v>
      </c>
      <c r="K114" s="101"/>
      <c r="L114" s="103"/>
      <c r="M114" s="59"/>
      <c r="U114" s="238"/>
      <c r="V114" s="59"/>
    </row>
    <row r="115" spans="1:22" ht="15" customHeight="1" x14ac:dyDescent="0.2">
      <c r="A115" s="95" t="s">
        <v>41</v>
      </c>
      <c r="B115" s="96">
        <v>43166</v>
      </c>
      <c r="C115" s="97">
        <v>41</v>
      </c>
      <c r="D115" s="104">
        <v>633001</v>
      </c>
      <c r="E115" s="119" t="s">
        <v>37</v>
      </c>
      <c r="F115" s="100">
        <v>0</v>
      </c>
      <c r="G115" s="285">
        <v>0</v>
      </c>
      <c r="H115" s="283"/>
      <c r="I115" s="258">
        <v>0</v>
      </c>
      <c r="J115" s="258">
        <v>0</v>
      </c>
      <c r="K115" s="101"/>
      <c r="L115" s="103"/>
      <c r="M115" s="59"/>
      <c r="U115" s="238"/>
      <c r="V115" s="59"/>
    </row>
    <row r="116" spans="1:22" ht="15" customHeight="1" x14ac:dyDescent="0.2">
      <c r="A116" s="95" t="s">
        <v>39</v>
      </c>
      <c r="B116" s="96">
        <v>43106</v>
      </c>
      <c r="C116" s="97">
        <v>41</v>
      </c>
      <c r="D116" s="104">
        <v>633001</v>
      </c>
      <c r="E116" s="119" t="s">
        <v>37</v>
      </c>
      <c r="F116" s="100">
        <v>0</v>
      </c>
      <c r="G116" s="285">
        <v>628.9</v>
      </c>
      <c r="H116" s="283">
        <v>0</v>
      </c>
      <c r="I116" s="258">
        <v>345</v>
      </c>
      <c r="J116" s="258">
        <v>345</v>
      </c>
      <c r="K116" s="101">
        <v>135.6</v>
      </c>
      <c r="L116" s="103"/>
      <c r="M116" s="59"/>
      <c r="U116" s="238"/>
      <c r="V116" s="59"/>
    </row>
    <row r="117" spans="1:22" ht="15" customHeight="1" x14ac:dyDescent="0.2">
      <c r="A117" s="95" t="s">
        <v>40</v>
      </c>
      <c r="B117" s="96">
        <v>43354</v>
      </c>
      <c r="C117" s="97">
        <v>41</v>
      </c>
      <c r="D117" s="104">
        <v>633001</v>
      </c>
      <c r="E117" s="119" t="s">
        <v>37</v>
      </c>
      <c r="F117" s="100">
        <v>0</v>
      </c>
      <c r="G117" s="285">
        <v>36</v>
      </c>
      <c r="H117" s="283"/>
      <c r="I117" s="258">
        <v>0</v>
      </c>
      <c r="J117" s="258">
        <v>0</v>
      </c>
      <c r="K117" s="101">
        <v>42</v>
      </c>
      <c r="L117" s="103"/>
      <c r="M117" s="59"/>
      <c r="U117" s="238"/>
      <c r="V117" s="59"/>
    </row>
    <row r="118" spans="1:22" ht="15" customHeight="1" x14ac:dyDescent="0.2">
      <c r="A118" s="95" t="s">
        <v>42</v>
      </c>
      <c r="B118" s="96" t="s">
        <v>70</v>
      </c>
      <c r="C118" s="97">
        <v>41</v>
      </c>
      <c r="D118" s="104">
        <v>633001</v>
      </c>
      <c r="E118" s="119" t="s">
        <v>37</v>
      </c>
      <c r="F118" s="100">
        <v>0</v>
      </c>
      <c r="G118" s="285">
        <v>0</v>
      </c>
      <c r="H118" s="283">
        <v>0</v>
      </c>
      <c r="I118" s="258">
        <v>0</v>
      </c>
      <c r="J118" s="258">
        <v>0</v>
      </c>
      <c r="K118" s="101"/>
      <c r="L118" s="103"/>
      <c r="M118" s="59"/>
      <c r="U118" s="238"/>
      <c r="V118" s="59"/>
    </row>
    <row r="119" spans="1:22" x14ac:dyDescent="0.2">
      <c r="A119" s="95"/>
      <c r="B119" s="96"/>
      <c r="C119" s="97"/>
      <c r="D119" s="104"/>
      <c r="E119" s="119" t="s">
        <v>12</v>
      </c>
      <c r="F119" s="112">
        <f t="shared" ref="F119:G119" si="53">SUM(F120:F125)</f>
        <v>123.3</v>
      </c>
      <c r="G119" s="112">
        <f t="shared" si="53"/>
        <v>904.8</v>
      </c>
      <c r="H119" s="289">
        <f t="shared" ref="H119" si="54">SUM(H120:H124)</f>
        <v>0</v>
      </c>
      <c r="I119" s="225">
        <f t="shared" ref="I119" si="55">SUM(I120:I125)</f>
        <v>1617.36</v>
      </c>
      <c r="J119" s="102">
        <f t="shared" ref="J119:K119" si="56">SUM(J120:J125)</f>
        <v>1617.36</v>
      </c>
      <c r="K119" s="225">
        <f t="shared" si="56"/>
        <v>1285</v>
      </c>
      <c r="L119" s="103"/>
      <c r="M119" s="59"/>
      <c r="U119" s="238"/>
      <c r="V119" s="59"/>
    </row>
    <row r="120" spans="1:22" ht="15" customHeight="1" x14ac:dyDescent="0.2">
      <c r="A120" s="131" t="s">
        <v>38</v>
      </c>
      <c r="B120" s="96">
        <v>43224</v>
      </c>
      <c r="C120" s="97">
        <v>42</v>
      </c>
      <c r="D120" s="104">
        <v>633002</v>
      </c>
      <c r="E120" s="119" t="s">
        <v>12</v>
      </c>
      <c r="F120" s="100">
        <v>0</v>
      </c>
      <c r="G120" s="285">
        <v>0</v>
      </c>
      <c r="H120" s="283">
        <v>0</v>
      </c>
      <c r="I120" s="229">
        <v>0</v>
      </c>
      <c r="J120" s="229">
        <v>0</v>
      </c>
      <c r="K120" s="229"/>
      <c r="L120" s="103"/>
      <c r="M120" s="59"/>
      <c r="U120" s="238"/>
      <c r="V120" s="59"/>
    </row>
    <row r="121" spans="1:22" ht="15" customHeight="1" x14ac:dyDescent="0.2">
      <c r="A121" s="95" t="s">
        <v>39</v>
      </c>
      <c r="B121" s="96">
        <v>43106</v>
      </c>
      <c r="C121" s="97">
        <v>41</v>
      </c>
      <c r="D121" s="104">
        <v>633002</v>
      </c>
      <c r="E121" s="119" t="s">
        <v>12</v>
      </c>
      <c r="F121" s="100">
        <v>123.3</v>
      </c>
      <c r="G121" s="285">
        <v>904.8</v>
      </c>
      <c r="H121" s="283">
        <v>0</v>
      </c>
      <c r="I121" s="257">
        <v>0</v>
      </c>
      <c r="J121" s="257">
        <v>0</v>
      </c>
      <c r="K121" s="229">
        <v>471.6</v>
      </c>
      <c r="L121" s="103"/>
      <c r="M121" s="59"/>
      <c r="U121" s="238"/>
      <c r="V121" s="59"/>
    </row>
    <row r="122" spans="1:22" ht="15" customHeight="1" x14ac:dyDescent="0.2">
      <c r="A122" s="95" t="s">
        <v>39</v>
      </c>
      <c r="B122" s="96">
        <v>44567</v>
      </c>
      <c r="C122" s="97">
        <v>42</v>
      </c>
      <c r="D122" s="104">
        <v>633002</v>
      </c>
      <c r="E122" s="119" t="s">
        <v>12</v>
      </c>
      <c r="F122" s="100"/>
      <c r="G122" s="285">
        <v>0</v>
      </c>
      <c r="H122" s="283"/>
      <c r="I122" s="102">
        <f>730.4*1.15</f>
        <v>839.95999999999992</v>
      </c>
      <c r="J122" s="102">
        <f>730.4*1.15</f>
        <v>839.95999999999992</v>
      </c>
      <c r="K122" s="102">
        <v>36</v>
      </c>
      <c r="L122" s="103"/>
      <c r="M122" s="59"/>
      <c r="U122" s="238"/>
      <c r="V122" s="59"/>
    </row>
    <row r="123" spans="1:22" ht="15" customHeight="1" x14ac:dyDescent="0.2">
      <c r="A123" s="95" t="s">
        <v>40</v>
      </c>
      <c r="B123" s="96">
        <v>43354</v>
      </c>
      <c r="C123" s="97">
        <v>41</v>
      </c>
      <c r="D123" s="104">
        <v>633002</v>
      </c>
      <c r="E123" s="119" t="s">
        <v>12</v>
      </c>
      <c r="F123" s="100">
        <v>0</v>
      </c>
      <c r="G123" s="285">
        <v>0</v>
      </c>
      <c r="H123" s="283"/>
      <c r="I123" s="257">
        <v>0</v>
      </c>
      <c r="J123" s="257">
        <v>0</v>
      </c>
      <c r="K123" s="229"/>
      <c r="L123" s="103"/>
      <c r="M123" s="59"/>
      <c r="U123" s="238"/>
      <c r="V123" s="59"/>
    </row>
    <row r="124" spans="1:22" ht="15" customHeight="1" x14ac:dyDescent="0.2">
      <c r="A124" s="95" t="s">
        <v>41</v>
      </c>
      <c r="B124" s="96">
        <v>43166</v>
      </c>
      <c r="C124" s="97">
        <v>42</v>
      </c>
      <c r="D124" s="104">
        <v>633002</v>
      </c>
      <c r="E124" s="119" t="s">
        <v>12</v>
      </c>
      <c r="F124" s="100">
        <v>0</v>
      </c>
      <c r="G124" s="285">
        <v>0</v>
      </c>
      <c r="H124" s="283">
        <v>0</v>
      </c>
      <c r="I124" s="102">
        <f>676*1.15</f>
        <v>777.4</v>
      </c>
      <c r="J124" s="102">
        <f>676*1.15</f>
        <v>777.4</v>
      </c>
      <c r="K124" s="102">
        <v>777.4</v>
      </c>
      <c r="L124" s="103"/>
      <c r="M124" s="59"/>
      <c r="U124" s="238"/>
      <c r="V124" s="59"/>
    </row>
    <row r="125" spans="1:22" x14ac:dyDescent="0.2">
      <c r="A125" s="95" t="s">
        <v>42</v>
      </c>
      <c r="B125" s="96" t="s">
        <v>70</v>
      </c>
      <c r="C125" s="97">
        <v>42</v>
      </c>
      <c r="D125" s="104">
        <v>633002</v>
      </c>
      <c r="E125" s="119" t="s">
        <v>12</v>
      </c>
      <c r="F125" s="100"/>
      <c r="G125" s="100"/>
      <c r="H125" s="289"/>
      <c r="I125" s="229"/>
      <c r="J125" s="229"/>
      <c r="K125" s="229"/>
      <c r="L125" s="103"/>
      <c r="M125" s="59"/>
      <c r="U125" s="238"/>
      <c r="V125" s="59"/>
    </row>
    <row r="126" spans="1:22" x14ac:dyDescent="0.2">
      <c r="A126" s="95"/>
      <c r="B126" s="118"/>
      <c r="C126" s="97"/>
      <c r="D126" s="104">
        <v>633004</v>
      </c>
      <c r="E126" s="119" t="s">
        <v>13</v>
      </c>
      <c r="F126" s="112">
        <f t="shared" ref="F126:G126" si="57">SUM(F127:F132)</f>
        <v>4567.8</v>
      </c>
      <c r="G126" s="112">
        <f t="shared" si="57"/>
        <v>7982.99</v>
      </c>
      <c r="H126" s="289">
        <f>SUM(H127:H132)</f>
        <v>1664.09</v>
      </c>
      <c r="I126" s="230">
        <f t="shared" ref="I126:J126" si="58">SUM(I127:I132)</f>
        <v>7475</v>
      </c>
      <c r="J126" s="230">
        <f t="shared" si="58"/>
        <v>7475</v>
      </c>
      <c r="K126" s="228">
        <f>SUM(K127:K132)</f>
        <v>7381.61</v>
      </c>
      <c r="L126" s="103"/>
      <c r="M126" s="59"/>
      <c r="U126" s="238"/>
      <c r="V126" s="59"/>
    </row>
    <row r="127" spans="1:22" ht="15" customHeight="1" x14ac:dyDescent="0.2">
      <c r="A127" s="95" t="s">
        <v>42</v>
      </c>
      <c r="B127" s="96" t="s">
        <v>70</v>
      </c>
      <c r="C127" s="97">
        <v>41</v>
      </c>
      <c r="D127" s="104">
        <v>633004</v>
      </c>
      <c r="E127" s="119" t="s">
        <v>13</v>
      </c>
      <c r="F127" s="100">
        <v>13.3</v>
      </c>
      <c r="G127" s="285"/>
      <c r="H127" s="283"/>
      <c r="I127" s="258"/>
      <c r="J127" s="258"/>
      <c r="K127" s="101"/>
      <c r="L127" s="103"/>
      <c r="M127" s="59"/>
      <c r="U127" s="238"/>
      <c r="V127" s="59"/>
    </row>
    <row r="128" spans="1:22" ht="15" customHeight="1" x14ac:dyDescent="0.2">
      <c r="A128" s="95" t="s">
        <v>41</v>
      </c>
      <c r="B128" s="96">
        <v>43166</v>
      </c>
      <c r="C128" s="97">
        <v>41</v>
      </c>
      <c r="D128" s="104">
        <v>633004</v>
      </c>
      <c r="E128" s="119" t="s">
        <v>193</v>
      </c>
      <c r="F128" s="100">
        <v>26.52</v>
      </c>
      <c r="G128" s="285">
        <v>72.66</v>
      </c>
      <c r="H128" s="283"/>
      <c r="I128" s="258">
        <f>1200*1.15</f>
        <v>1380</v>
      </c>
      <c r="J128" s="258">
        <f>1200*1.15</f>
        <v>1380</v>
      </c>
      <c r="K128" s="101">
        <v>1320.72</v>
      </c>
      <c r="L128" s="103"/>
      <c r="M128" s="59"/>
      <c r="U128" s="238"/>
      <c r="V128" s="59"/>
    </row>
    <row r="129" spans="1:22" ht="15" customHeight="1" x14ac:dyDescent="0.2">
      <c r="A129" s="95" t="s">
        <v>39</v>
      </c>
      <c r="B129" s="96">
        <v>43106</v>
      </c>
      <c r="C129" s="97">
        <v>41</v>
      </c>
      <c r="D129" s="104">
        <v>633004</v>
      </c>
      <c r="E129" s="119" t="s">
        <v>13</v>
      </c>
      <c r="F129" s="100">
        <v>382.78</v>
      </c>
      <c r="G129" s="285">
        <v>6565.78</v>
      </c>
      <c r="H129" s="283">
        <v>660</v>
      </c>
      <c r="I129" s="258">
        <v>2645</v>
      </c>
      <c r="J129" s="258">
        <v>2645</v>
      </c>
      <c r="K129" s="101">
        <v>2543.27</v>
      </c>
      <c r="L129" s="103"/>
      <c r="M129" s="275"/>
      <c r="U129" s="238"/>
      <c r="V129" s="59"/>
    </row>
    <row r="130" spans="1:22" ht="15" customHeight="1" x14ac:dyDescent="0.2">
      <c r="A130" s="95" t="s">
        <v>39</v>
      </c>
      <c r="B130" s="96">
        <v>43106</v>
      </c>
      <c r="C130" s="97">
        <v>46</v>
      </c>
      <c r="D130" s="104">
        <v>633004</v>
      </c>
      <c r="E130" s="119" t="s">
        <v>13</v>
      </c>
      <c r="F130" s="100"/>
      <c r="G130" s="285"/>
      <c r="H130" s="283"/>
      <c r="I130" s="258">
        <v>0</v>
      </c>
      <c r="J130" s="258">
        <v>0</v>
      </c>
      <c r="K130" s="101">
        <v>170.99</v>
      </c>
      <c r="L130" s="103"/>
      <c r="M130" s="275"/>
      <c r="U130" s="238"/>
      <c r="V130" s="59"/>
    </row>
    <row r="131" spans="1:22" ht="15" customHeight="1" x14ac:dyDescent="0.2">
      <c r="A131" s="95" t="s">
        <v>40</v>
      </c>
      <c r="B131" s="96">
        <v>43354</v>
      </c>
      <c r="C131" s="97">
        <v>41</v>
      </c>
      <c r="D131" s="104">
        <v>633004</v>
      </c>
      <c r="E131" s="119" t="s">
        <v>13</v>
      </c>
      <c r="F131" s="100">
        <v>845.2</v>
      </c>
      <c r="G131" s="285">
        <v>642.75</v>
      </c>
      <c r="H131" s="283">
        <v>404.09</v>
      </c>
      <c r="I131" s="258">
        <f>3000*1.15</f>
        <v>3449.9999999999995</v>
      </c>
      <c r="J131" s="258">
        <f>3000*1.15</f>
        <v>3449.9999999999995</v>
      </c>
      <c r="K131" s="101">
        <v>3346.63</v>
      </c>
      <c r="L131" s="103"/>
      <c r="M131" s="59"/>
      <c r="U131" s="238"/>
      <c r="V131" s="59"/>
    </row>
    <row r="132" spans="1:22" ht="15" customHeight="1" x14ac:dyDescent="0.2">
      <c r="A132" s="95" t="s">
        <v>40</v>
      </c>
      <c r="B132" s="96">
        <v>44450</v>
      </c>
      <c r="C132" s="97">
        <v>46</v>
      </c>
      <c r="D132" s="104">
        <v>633004</v>
      </c>
      <c r="E132" s="119" t="s">
        <v>13</v>
      </c>
      <c r="F132" s="100">
        <v>3300</v>
      </c>
      <c r="G132" s="285">
        <v>701.8</v>
      </c>
      <c r="H132" s="283">
        <v>600</v>
      </c>
      <c r="I132" s="101"/>
      <c r="J132" s="101"/>
      <c r="K132" s="101"/>
      <c r="L132" s="103"/>
      <c r="M132" s="59"/>
      <c r="U132" s="238"/>
      <c r="V132" s="59"/>
    </row>
    <row r="133" spans="1:22" x14ac:dyDescent="0.2">
      <c r="A133" s="95"/>
      <c r="B133" s="118"/>
      <c r="C133" s="97"/>
      <c r="D133" s="104">
        <v>633009</v>
      </c>
      <c r="E133" s="119" t="s">
        <v>14</v>
      </c>
      <c r="F133" s="112">
        <f t="shared" ref="F133:I133" si="59">SUM(F134:F136)</f>
        <v>0</v>
      </c>
      <c r="G133" s="100">
        <f>SUM(G134:G135)</f>
        <v>63.6</v>
      </c>
      <c r="H133" s="289">
        <f t="shared" ref="H133" si="60">SUM(H134:H136)</f>
        <v>184.8</v>
      </c>
      <c r="I133" s="225">
        <f t="shared" si="59"/>
        <v>172.5</v>
      </c>
      <c r="J133" s="257">
        <f t="shared" ref="J133" si="61">SUM(J134:J136)</f>
        <v>172.5</v>
      </c>
      <c r="K133" s="225">
        <f>SUM(K134:K136)</f>
        <v>87</v>
      </c>
      <c r="L133" s="103"/>
      <c r="M133" s="59"/>
      <c r="U133" s="238"/>
      <c r="V133" s="59"/>
    </row>
    <row r="134" spans="1:22" ht="15" customHeight="1" x14ac:dyDescent="0.2">
      <c r="A134" s="95" t="s">
        <v>40</v>
      </c>
      <c r="B134" s="96">
        <v>43354</v>
      </c>
      <c r="C134" s="97">
        <v>41</v>
      </c>
      <c r="D134" s="104">
        <v>633009</v>
      </c>
      <c r="E134" s="119" t="s">
        <v>14</v>
      </c>
      <c r="F134" s="100">
        <v>0</v>
      </c>
      <c r="G134" s="100">
        <v>63.6</v>
      </c>
      <c r="H134" s="283">
        <v>66</v>
      </c>
      <c r="I134" s="257">
        <v>172.5</v>
      </c>
      <c r="J134" s="257">
        <v>172.5</v>
      </c>
      <c r="K134" s="102">
        <v>87</v>
      </c>
      <c r="L134" s="103"/>
      <c r="M134" s="59"/>
      <c r="U134" s="238"/>
      <c r="V134" s="59"/>
    </row>
    <row r="135" spans="1:22" ht="15" customHeight="1" x14ac:dyDescent="0.2">
      <c r="A135" s="95" t="s">
        <v>41</v>
      </c>
      <c r="B135" s="96">
        <v>43531</v>
      </c>
      <c r="C135" s="97">
        <v>41</v>
      </c>
      <c r="D135" s="104">
        <v>633009</v>
      </c>
      <c r="E135" s="119" t="s">
        <v>14</v>
      </c>
      <c r="F135" s="100"/>
      <c r="G135" s="100"/>
      <c r="H135" s="283"/>
      <c r="I135" s="257"/>
      <c r="J135" s="257"/>
      <c r="K135" s="102"/>
      <c r="L135" s="103"/>
      <c r="M135" s="59"/>
      <c r="U135" s="238"/>
      <c r="V135" s="59"/>
    </row>
    <row r="136" spans="1:22" ht="15" customHeight="1" x14ac:dyDescent="0.2">
      <c r="A136" s="95" t="s">
        <v>39</v>
      </c>
      <c r="B136" s="96">
        <v>43106</v>
      </c>
      <c r="C136" s="97">
        <v>41</v>
      </c>
      <c r="D136" s="104">
        <v>633009</v>
      </c>
      <c r="E136" s="119" t="s">
        <v>14</v>
      </c>
      <c r="F136" s="100"/>
      <c r="G136" s="100"/>
      <c r="H136" s="283">
        <v>118.8</v>
      </c>
      <c r="I136" s="257"/>
      <c r="J136" s="257"/>
      <c r="K136" s="102"/>
      <c r="L136" s="103"/>
      <c r="M136" s="275"/>
      <c r="U136" s="238"/>
      <c r="V136" s="59"/>
    </row>
    <row r="137" spans="1:22" x14ac:dyDescent="0.2">
      <c r="A137" s="95"/>
      <c r="B137" s="118"/>
      <c r="C137" s="97"/>
      <c r="D137" s="104">
        <v>633010</v>
      </c>
      <c r="E137" s="119" t="s">
        <v>15</v>
      </c>
      <c r="F137" s="112">
        <f t="shared" ref="F137:I137" si="62">SUM(F138:F145)</f>
        <v>7723.8600000000006</v>
      </c>
      <c r="G137" s="112">
        <f t="shared" si="62"/>
        <v>3271.82</v>
      </c>
      <c r="H137" s="289">
        <f t="shared" ref="H137" si="63">SUM(H138:H145)</f>
        <v>1574.24</v>
      </c>
      <c r="I137" s="225">
        <f t="shared" si="62"/>
        <v>5175</v>
      </c>
      <c r="J137" s="257">
        <f t="shared" ref="J137:K137" si="64">SUM(J138:J145)</f>
        <v>5175</v>
      </c>
      <c r="K137" s="225">
        <f t="shared" si="64"/>
        <v>2133.8000000000002</v>
      </c>
      <c r="L137" s="103"/>
      <c r="M137" s="59"/>
      <c r="U137" s="238"/>
      <c r="V137" s="59"/>
    </row>
    <row r="138" spans="1:22" ht="15" customHeight="1" x14ac:dyDescent="0.2">
      <c r="A138" s="95" t="s">
        <v>42</v>
      </c>
      <c r="B138" s="118" t="s">
        <v>70</v>
      </c>
      <c r="C138" s="97">
        <v>41</v>
      </c>
      <c r="D138" s="104">
        <v>633010</v>
      </c>
      <c r="E138" s="119" t="s">
        <v>15</v>
      </c>
      <c r="F138" s="100">
        <v>0</v>
      </c>
      <c r="G138" s="285">
        <v>0</v>
      </c>
      <c r="H138" s="283"/>
      <c r="I138" s="257">
        <v>0</v>
      </c>
      <c r="J138" s="257">
        <v>0</v>
      </c>
      <c r="K138" s="102"/>
      <c r="L138" s="103"/>
      <c r="M138" s="59"/>
      <c r="U138" s="238"/>
      <c r="V138" s="59"/>
    </row>
    <row r="139" spans="1:22" ht="15" customHeight="1" x14ac:dyDescent="0.2">
      <c r="A139" s="95" t="s">
        <v>41</v>
      </c>
      <c r="B139" s="96">
        <v>43166</v>
      </c>
      <c r="C139" s="97">
        <v>41</v>
      </c>
      <c r="D139" s="104">
        <v>633010</v>
      </c>
      <c r="E139" s="119" t="s">
        <v>15</v>
      </c>
      <c r="F139" s="100">
        <v>1640.7</v>
      </c>
      <c r="G139" s="285">
        <v>0</v>
      </c>
      <c r="H139" s="283"/>
      <c r="I139" s="257">
        <v>0</v>
      </c>
      <c r="J139" s="257">
        <v>0</v>
      </c>
      <c r="K139" s="102"/>
      <c r="L139" s="103"/>
      <c r="M139" s="59"/>
      <c r="U139" s="238"/>
      <c r="V139" s="59"/>
    </row>
    <row r="140" spans="1:22" ht="15" customHeight="1" x14ac:dyDescent="0.2">
      <c r="A140" s="95" t="s">
        <v>39</v>
      </c>
      <c r="B140" s="96">
        <v>43106</v>
      </c>
      <c r="C140" s="97">
        <v>41</v>
      </c>
      <c r="D140" s="104">
        <v>633010</v>
      </c>
      <c r="E140" s="119" t="s">
        <v>15</v>
      </c>
      <c r="F140" s="100">
        <v>1140.48</v>
      </c>
      <c r="G140" s="285">
        <v>771.42</v>
      </c>
      <c r="H140" s="283">
        <v>262.92</v>
      </c>
      <c r="I140" s="257">
        <v>1725</v>
      </c>
      <c r="J140" s="257">
        <v>1725</v>
      </c>
      <c r="K140" s="102">
        <v>1696.7</v>
      </c>
      <c r="L140" s="103"/>
      <c r="M140" s="275"/>
      <c r="U140" s="238"/>
      <c r="V140" s="59"/>
    </row>
    <row r="141" spans="1:22" ht="15" customHeight="1" x14ac:dyDescent="0.2">
      <c r="A141" s="95" t="s">
        <v>40</v>
      </c>
      <c r="B141" s="96">
        <v>43354</v>
      </c>
      <c r="C141" s="97">
        <v>41</v>
      </c>
      <c r="D141" s="104">
        <v>633010</v>
      </c>
      <c r="E141" s="119" t="s">
        <v>15</v>
      </c>
      <c r="F141" s="100">
        <v>819.33</v>
      </c>
      <c r="G141" s="285">
        <v>2500.4</v>
      </c>
      <c r="H141" s="283">
        <v>1311.32</v>
      </c>
      <c r="I141" s="257">
        <f>3000*1.15</f>
        <v>3449.9999999999995</v>
      </c>
      <c r="J141" s="257">
        <f>3000*1.15</f>
        <v>3449.9999999999995</v>
      </c>
      <c r="K141" s="102">
        <v>28.8</v>
      </c>
      <c r="L141" s="103"/>
      <c r="M141" s="59"/>
      <c r="U141" s="238"/>
      <c r="V141" s="59"/>
    </row>
    <row r="142" spans="1:22" ht="15" customHeight="1" x14ac:dyDescent="0.2">
      <c r="A142" s="95" t="s">
        <v>40</v>
      </c>
      <c r="B142" s="96">
        <v>43719</v>
      </c>
      <c r="C142" s="97">
        <v>46</v>
      </c>
      <c r="D142" s="104">
        <v>633010</v>
      </c>
      <c r="E142" s="119" t="s">
        <v>15</v>
      </c>
      <c r="F142" s="100">
        <v>0</v>
      </c>
      <c r="G142" s="285">
        <v>0</v>
      </c>
      <c r="H142" s="283"/>
      <c r="I142" s="102"/>
      <c r="J142" s="102"/>
      <c r="K142" s="102"/>
      <c r="L142" s="103"/>
      <c r="M142" s="59"/>
      <c r="U142" s="238"/>
      <c r="V142" s="59"/>
    </row>
    <row r="143" spans="1:22" ht="15" customHeight="1" x14ac:dyDescent="0.2">
      <c r="A143" s="95" t="s">
        <v>40</v>
      </c>
      <c r="B143" s="96">
        <v>43719</v>
      </c>
      <c r="C143" s="97">
        <v>42</v>
      </c>
      <c r="D143" s="104">
        <v>633010</v>
      </c>
      <c r="E143" s="119" t="s">
        <v>15</v>
      </c>
      <c r="F143" s="100"/>
      <c r="G143" s="285"/>
      <c r="H143" s="283"/>
      <c r="I143" s="102"/>
      <c r="J143" s="102"/>
      <c r="K143" s="102"/>
      <c r="L143" s="103"/>
      <c r="M143" s="59"/>
      <c r="U143" s="238"/>
      <c r="V143" s="59"/>
    </row>
    <row r="144" spans="1:22" ht="15" customHeight="1" x14ac:dyDescent="0.2">
      <c r="A144" s="95" t="s">
        <v>39</v>
      </c>
      <c r="B144" s="96">
        <v>43106</v>
      </c>
      <c r="C144" s="97">
        <v>46</v>
      </c>
      <c r="D144" s="104">
        <v>633010</v>
      </c>
      <c r="E144" s="119" t="s">
        <v>15</v>
      </c>
      <c r="F144" s="100">
        <v>4123.3500000000004</v>
      </c>
      <c r="G144" s="285">
        <v>0</v>
      </c>
      <c r="H144" s="283"/>
      <c r="I144" s="102"/>
      <c r="J144" s="102">
        <v>0</v>
      </c>
      <c r="K144" s="102">
        <v>255.4</v>
      </c>
      <c r="L144" s="103"/>
      <c r="M144" s="275"/>
      <c r="U144" s="238"/>
      <c r="V144" s="59"/>
    </row>
    <row r="145" spans="1:22" ht="15" customHeight="1" x14ac:dyDescent="0.2">
      <c r="A145" s="95" t="s">
        <v>39</v>
      </c>
      <c r="B145" s="96">
        <v>43106</v>
      </c>
      <c r="C145" s="97">
        <v>42</v>
      </c>
      <c r="D145" s="104">
        <v>633010</v>
      </c>
      <c r="E145" s="119" t="s">
        <v>15</v>
      </c>
      <c r="F145" s="100"/>
      <c r="G145" s="285"/>
      <c r="H145" s="283"/>
      <c r="I145" s="102"/>
      <c r="J145" s="102">
        <v>0</v>
      </c>
      <c r="K145" s="102">
        <v>152.9</v>
      </c>
      <c r="L145" s="103"/>
      <c r="M145" s="275"/>
      <c r="U145" s="238"/>
      <c r="V145" s="59"/>
    </row>
    <row r="146" spans="1:22" x14ac:dyDescent="0.2">
      <c r="A146" s="95"/>
      <c r="B146" s="96"/>
      <c r="C146" s="97"/>
      <c r="D146" s="104">
        <v>633013</v>
      </c>
      <c r="E146" s="119" t="s">
        <v>58</v>
      </c>
      <c r="F146" s="134">
        <f t="shared" ref="F146:I146" si="65">SUM(F147:F157)</f>
        <v>349.08</v>
      </c>
      <c r="G146" s="134">
        <f t="shared" si="65"/>
        <v>1025.28</v>
      </c>
      <c r="H146" s="290">
        <f t="shared" ref="H146" si="66">SUM(H147:H156)</f>
        <v>1096.48</v>
      </c>
      <c r="I146" s="230">
        <f t="shared" si="65"/>
        <v>2645</v>
      </c>
      <c r="J146" s="257">
        <f t="shared" ref="J146:K146" si="67">SUM(J147:J157)</f>
        <v>2645</v>
      </c>
      <c r="K146" s="230">
        <f t="shared" si="67"/>
        <v>950.64</v>
      </c>
      <c r="L146" s="103"/>
      <c r="M146" s="59"/>
      <c r="U146" s="238"/>
      <c r="V146" s="59"/>
    </row>
    <row r="147" spans="1:22" ht="15" customHeight="1" x14ac:dyDescent="0.2">
      <c r="A147" s="95" t="s">
        <v>41</v>
      </c>
      <c r="B147" s="96">
        <v>43166</v>
      </c>
      <c r="C147" s="97">
        <v>41</v>
      </c>
      <c r="D147" s="104">
        <v>633013</v>
      </c>
      <c r="E147" s="119" t="s">
        <v>58</v>
      </c>
      <c r="F147" s="100">
        <v>0</v>
      </c>
      <c r="G147" s="285">
        <v>0</v>
      </c>
      <c r="H147" s="283">
        <v>0</v>
      </c>
      <c r="I147" s="258">
        <v>0</v>
      </c>
      <c r="J147" s="258">
        <v>0</v>
      </c>
      <c r="K147" s="101"/>
      <c r="L147" s="103"/>
      <c r="M147" s="59"/>
      <c r="U147" s="238"/>
      <c r="V147" s="59"/>
    </row>
    <row r="148" spans="1:22" ht="15" customHeight="1" x14ac:dyDescent="0.2">
      <c r="A148" s="95" t="s">
        <v>42</v>
      </c>
      <c r="B148" s="96" t="s">
        <v>70</v>
      </c>
      <c r="C148" s="97">
        <v>46</v>
      </c>
      <c r="D148" s="104">
        <v>633013</v>
      </c>
      <c r="E148" s="119" t="s">
        <v>58</v>
      </c>
      <c r="F148" s="100">
        <v>0</v>
      </c>
      <c r="G148" s="285">
        <v>0</v>
      </c>
      <c r="H148" s="283"/>
      <c r="I148" s="101">
        <v>0</v>
      </c>
      <c r="J148" s="101">
        <v>0</v>
      </c>
      <c r="K148" s="101"/>
      <c r="L148" s="103"/>
      <c r="M148" s="59"/>
      <c r="U148" s="238"/>
      <c r="V148" s="59"/>
    </row>
    <row r="149" spans="1:22" ht="15" customHeight="1" x14ac:dyDescent="0.2">
      <c r="A149" s="95" t="s">
        <v>42</v>
      </c>
      <c r="B149" s="96" t="s">
        <v>70</v>
      </c>
      <c r="C149" s="97">
        <v>42</v>
      </c>
      <c r="D149" s="104">
        <v>633013</v>
      </c>
      <c r="E149" s="119" t="s">
        <v>58</v>
      </c>
      <c r="F149" s="100"/>
      <c r="G149" s="285"/>
      <c r="H149" s="283"/>
      <c r="I149" s="101"/>
      <c r="J149" s="101"/>
      <c r="K149" s="101"/>
      <c r="L149" s="103"/>
      <c r="M149" s="59"/>
      <c r="U149" s="238"/>
      <c r="V149" s="59"/>
    </row>
    <row r="150" spans="1:22" ht="15" customHeight="1" x14ac:dyDescent="0.2">
      <c r="A150" s="95" t="s">
        <v>39</v>
      </c>
      <c r="B150" s="96">
        <v>43106</v>
      </c>
      <c r="C150" s="97">
        <v>41</v>
      </c>
      <c r="D150" s="104">
        <v>633013</v>
      </c>
      <c r="E150" s="119" t="s">
        <v>58</v>
      </c>
      <c r="F150" s="100">
        <v>349.08</v>
      </c>
      <c r="G150" s="285">
        <v>166.8</v>
      </c>
      <c r="H150" s="283">
        <v>351.7</v>
      </c>
      <c r="I150" s="258">
        <v>920</v>
      </c>
      <c r="J150" s="258">
        <v>920</v>
      </c>
      <c r="K150" s="101">
        <v>0</v>
      </c>
      <c r="L150" s="103"/>
      <c r="M150" s="275"/>
      <c r="U150" s="238"/>
      <c r="V150" s="59"/>
    </row>
    <row r="151" spans="1:22" ht="15" customHeight="1" x14ac:dyDescent="0.2">
      <c r="A151" s="95" t="s">
        <v>41</v>
      </c>
      <c r="B151" s="96">
        <v>43531</v>
      </c>
      <c r="C151" s="97">
        <v>41</v>
      </c>
      <c r="D151" s="104">
        <v>633013</v>
      </c>
      <c r="E151" s="119" t="s">
        <v>58</v>
      </c>
      <c r="F151" s="100"/>
      <c r="G151" s="285"/>
      <c r="H151" s="283"/>
      <c r="I151" s="258"/>
      <c r="J151" s="258"/>
      <c r="K151" s="101"/>
      <c r="L151" s="103"/>
      <c r="M151" s="59"/>
      <c r="U151" s="238"/>
      <c r="V151" s="59"/>
    </row>
    <row r="152" spans="1:22" ht="15" customHeight="1" x14ac:dyDescent="0.2">
      <c r="A152" s="95" t="s">
        <v>39</v>
      </c>
      <c r="B152" s="96">
        <v>43354</v>
      </c>
      <c r="C152" s="97">
        <v>42</v>
      </c>
      <c r="D152" s="104">
        <v>633013</v>
      </c>
      <c r="E152" s="119" t="s">
        <v>58</v>
      </c>
      <c r="F152" s="100">
        <v>0</v>
      </c>
      <c r="G152" s="285">
        <v>858.48</v>
      </c>
      <c r="H152" s="283">
        <v>743.28</v>
      </c>
      <c r="I152" s="101">
        <f>1500*1.15</f>
        <v>1724.9999999999998</v>
      </c>
      <c r="J152" s="101">
        <f>1500*1.15</f>
        <v>1724.9999999999998</v>
      </c>
      <c r="K152" s="101">
        <v>0</v>
      </c>
      <c r="L152" s="103"/>
      <c r="M152" s="275"/>
      <c r="U152" s="238"/>
      <c r="V152" s="59"/>
    </row>
    <row r="153" spans="1:22" ht="15" customHeight="1" x14ac:dyDescent="0.2">
      <c r="A153" s="95" t="s">
        <v>39</v>
      </c>
      <c r="B153" s="96">
        <v>43354</v>
      </c>
      <c r="C153" s="97">
        <v>46</v>
      </c>
      <c r="D153" s="104">
        <v>633013</v>
      </c>
      <c r="E153" s="119" t="s">
        <v>58</v>
      </c>
      <c r="F153" s="100">
        <v>0</v>
      </c>
      <c r="G153" s="285"/>
      <c r="H153" s="283"/>
      <c r="I153" s="101">
        <v>0</v>
      </c>
      <c r="J153" s="101">
        <v>0</v>
      </c>
      <c r="K153" s="101">
        <v>950.64</v>
      </c>
      <c r="L153" s="103"/>
      <c r="M153" s="275"/>
      <c r="U153" s="238"/>
      <c r="V153" s="59"/>
    </row>
    <row r="154" spans="1:22" ht="15" customHeight="1" x14ac:dyDescent="0.2">
      <c r="A154" s="95" t="s">
        <v>41</v>
      </c>
      <c r="B154" s="96">
        <v>43531</v>
      </c>
      <c r="C154" s="97">
        <v>42</v>
      </c>
      <c r="D154" s="104">
        <v>633013</v>
      </c>
      <c r="E154" s="119" t="s">
        <v>58</v>
      </c>
      <c r="F154" s="100"/>
      <c r="G154" s="285"/>
      <c r="H154" s="283">
        <v>1.5</v>
      </c>
      <c r="I154" s="101"/>
      <c r="J154" s="101"/>
      <c r="K154" s="101"/>
      <c r="L154" s="103"/>
      <c r="M154" s="59"/>
      <c r="U154" s="238"/>
      <c r="V154" s="59"/>
    </row>
    <row r="155" spans="1:22" ht="15" customHeight="1" x14ac:dyDescent="0.2">
      <c r="A155" s="95" t="s">
        <v>40</v>
      </c>
      <c r="B155" s="96">
        <v>43719</v>
      </c>
      <c r="C155" s="97">
        <v>41</v>
      </c>
      <c r="D155" s="104">
        <v>633013</v>
      </c>
      <c r="E155" s="119" t="s">
        <v>58</v>
      </c>
      <c r="F155" s="100"/>
      <c r="G155" s="285"/>
      <c r="H155" s="283"/>
      <c r="I155" s="258"/>
      <c r="J155" s="258"/>
      <c r="K155" s="101"/>
      <c r="L155" s="103"/>
      <c r="M155" s="59"/>
      <c r="U155" s="238"/>
      <c r="V155" s="59"/>
    </row>
    <row r="156" spans="1:22" ht="15" customHeight="1" x14ac:dyDescent="0.2">
      <c r="A156" s="95" t="s">
        <v>40</v>
      </c>
      <c r="B156" s="96">
        <v>43719</v>
      </c>
      <c r="C156" s="97">
        <v>46</v>
      </c>
      <c r="D156" s="104">
        <v>633013</v>
      </c>
      <c r="E156" s="119" t="s">
        <v>58</v>
      </c>
      <c r="F156" s="100"/>
      <c r="G156" s="285">
        <v>0</v>
      </c>
      <c r="H156" s="283">
        <v>0</v>
      </c>
      <c r="I156" s="101"/>
      <c r="J156" s="101"/>
      <c r="K156" s="101"/>
      <c r="L156" s="103"/>
      <c r="M156" s="59"/>
      <c r="U156" s="238"/>
      <c r="V156" s="59"/>
    </row>
    <row r="157" spans="1:22" ht="15" customHeight="1" x14ac:dyDescent="0.2">
      <c r="A157" s="95" t="s">
        <v>38</v>
      </c>
      <c r="B157" s="96">
        <v>43589</v>
      </c>
      <c r="C157" s="97">
        <v>42</v>
      </c>
      <c r="D157" s="104">
        <v>633013</v>
      </c>
      <c r="E157" s="119" t="s">
        <v>58</v>
      </c>
      <c r="F157" s="100">
        <v>0</v>
      </c>
      <c r="G157" s="100">
        <v>0</v>
      </c>
      <c r="H157" s="285">
        <f t="shared" ref="H157" si="68">SUM(H159:H159)</f>
        <v>0</v>
      </c>
      <c r="I157" s="101">
        <v>0</v>
      </c>
      <c r="J157" s="101">
        <v>0</v>
      </c>
      <c r="K157" s="101"/>
      <c r="L157" s="103"/>
      <c r="M157" s="59"/>
      <c r="U157" s="238"/>
      <c r="V157" s="59"/>
    </row>
    <row r="158" spans="1:22" x14ac:dyDescent="0.2">
      <c r="A158" s="95"/>
      <c r="B158" s="96"/>
      <c r="C158" s="97"/>
      <c r="D158" s="104">
        <v>633015</v>
      </c>
      <c r="E158" s="119" t="s">
        <v>110</v>
      </c>
      <c r="F158" s="100">
        <f t="shared" ref="F158:G158" si="69">SUM(F160:F160)</f>
        <v>0</v>
      </c>
      <c r="G158" s="100">
        <f t="shared" si="69"/>
        <v>0</v>
      </c>
      <c r="H158" s="283"/>
      <c r="I158" s="102"/>
      <c r="J158" s="102"/>
      <c r="K158" s="102"/>
      <c r="L158" s="103"/>
      <c r="M158" s="59"/>
      <c r="U158" s="238"/>
      <c r="V158" s="59"/>
    </row>
    <row r="159" spans="1:22" ht="15" customHeight="1" x14ac:dyDescent="0.2">
      <c r="A159" s="95" t="s">
        <v>40</v>
      </c>
      <c r="B159" s="96">
        <v>43719</v>
      </c>
      <c r="C159" s="97">
        <v>41</v>
      </c>
      <c r="D159" s="104">
        <v>633015</v>
      </c>
      <c r="E159" s="119" t="s">
        <v>110</v>
      </c>
      <c r="F159" s="100"/>
      <c r="G159" s="100"/>
      <c r="H159" s="283">
        <v>0</v>
      </c>
      <c r="I159" s="257">
        <v>0</v>
      </c>
      <c r="J159" s="257">
        <v>0</v>
      </c>
      <c r="K159" s="102"/>
      <c r="L159" s="103"/>
      <c r="M159" s="59"/>
      <c r="U159" s="238"/>
      <c r="V159" s="59"/>
    </row>
    <row r="160" spans="1:22" ht="15" customHeight="1" x14ac:dyDescent="0.2">
      <c r="A160" s="95" t="s">
        <v>39</v>
      </c>
      <c r="B160" s="96">
        <v>43471</v>
      </c>
      <c r="C160" s="97">
        <v>41</v>
      </c>
      <c r="D160" s="104">
        <v>633015</v>
      </c>
      <c r="E160" s="119" t="s">
        <v>110</v>
      </c>
      <c r="F160" s="100">
        <v>0</v>
      </c>
      <c r="G160" s="100">
        <v>0</v>
      </c>
      <c r="H160" s="290"/>
      <c r="I160" s="257"/>
      <c r="J160" s="257"/>
      <c r="K160" s="102"/>
      <c r="L160" s="103"/>
      <c r="M160" s="59"/>
      <c r="U160" s="238"/>
      <c r="V160" s="59"/>
    </row>
    <row r="161" spans="1:22" x14ac:dyDescent="0.2">
      <c r="A161" s="95"/>
      <c r="B161" s="118"/>
      <c r="C161" s="97"/>
      <c r="D161" s="104">
        <v>633016</v>
      </c>
      <c r="E161" s="119" t="s">
        <v>16</v>
      </c>
      <c r="F161" s="134">
        <f t="shared" ref="F161:I161" si="70">SUM(F162:F170)</f>
        <v>3718.11</v>
      </c>
      <c r="G161" s="134">
        <f t="shared" si="70"/>
        <v>2124.63</v>
      </c>
      <c r="H161" s="290">
        <f t="shared" ref="H161" si="71">SUM(H162:H170)</f>
        <v>2540.4</v>
      </c>
      <c r="I161" s="260">
        <f t="shared" si="70"/>
        <v>2849.7</v>
      </c>
      <c r="J161" s="260">
        <f t="shared" ref="J161:K161" si="72">SUM(J162:J170)</f>
        <v>2849.7</v>
      </c>
      <c r="K161" s="260">
        <f t="shared" si="72"/>
        <v>2209.0600000000004</v>
      </c>
      <c r="L161" s="103"/>
      <c r="M161" s="59"/>
      <c r="U161" s="238"/>
      <c r="V161" s="59"/>
    </row>
    <row r="162" spans="1:22" ht="15" customHeight="1" x14ac:dyDescent="0.2">
      <c r="A162" s="95" t="s">
        <v>39</v>
      </c>
      <c r="B162" s="96">
        <v>43106</v>
      </c>
      <c r="C162" s="97">
        <v>41</v>
      </c>
      <c r="D162" s="104">
        <v>633016</v>
      </c>
      <c r="E162" s="119" t="s">
        <v>16</v>
      </c>
      <c r="F162" s="100">
        <v>2828.9</v>
      </c>
      <c r="G162" s="285">
        <f>281.1+538.85</f>
        <v>819.95</v>
      </c>
      <c r="H162" s="283">
        <v>1195.69</v>
      </c>
      <c r="I162" s="258">
        <v>1150</v>
      </c>
      <c r="J162" s="258">
        <v>1150</v>
      </c>
      <c r="K162" s="101">
        <v>1150</v>
      </c>
      <c r="L162" s="103"/>
      <c r="M162" s="59"/>
      <c r="U162" s="238"/>
      <c r="V162" s="59"/>
    </row>
    <row r="163" spans="1:22" ht="15" customHeight="1" x14ac:dyDescent="0.2">
      <c r="A163" s="95" t="s">
        <v>38</v>
      </c>
      <c r="B163" s="96">
        <v>44320</v>
      </c>
      <c r="C163" s="97">
        <v>41</v>
      </c>
      <c r="D163" s="104">
        <v>633016</v>
      </c>
      <c r="E163" s="119" t="s">
        <v>16</v>
      </c>
      <c r="F163" s="100"/>
      <c r="G163" s="285"/>
      <c r="H163" s="283"/>
      <c r="I163" s="258"/>
      <c r="J163" s="258"/>
      <c r="K163" s="101"/>
      <c r="L163" s="103"/>
      <c r="M163" s="59"/>
      <c r="U163" s="238"/>
      <c r="V163" s="59"/>
    </row>
    <row r="164" spans="1:22" ht="15" customHeight="1" x14ac:dyDescent="0.2">
      <c r="A164" s="95" t="s">
        <v>39</v>
      </c>
      <c r="B164" s="96">
        <v>43107</v>
      </c>
      <c r="C164" s="97">
        <v>42</v>
      </c>
      <c r="D164" s="104">
        <v>633016</v>
      </c>
      <c r="E164" s="119" t="s">
        <v>16</v>
      </c>
      <c r="F164" s="100">
        <v>117.96</v>
      </c>
      <c r="G164" s="285">
        <f>319.72+97.82</f>
        <v>417.54</v>
      </c>
      <c r="H164" s="283">
        <v>973.12</v>
      </c>
      <c r="I164" s="101"/>
      <c r="J164" s="101"/>
      <c r="K164" s="101"/>
      <c r="L164" s="103"/>
      <c r="M164" s="59"/>
      <c r="U164" s="238"/>
      <c r="V164" s="59"/>
    </row>
    <row r="165" spans="1:22" ht="15" customHeight="1" x14ac:dyDescent="0.2">
      <c r="A165" s="95" t="s">
        <v>41</v>
      </c>
      <c r="B165" s="96">
        <v>44262</v>
      </c>
      <c r="C165" s="97">
        <v>41</v>
      </c>
      <c r="D165" s="104">
        <v>633016</v>
      </c>
      <c r="E165" s="119" t="s">
        <v>16</v>
      </c>
      <c r="F165" s="100">
        <v>0</v>
      </c>
      <c r="G165" s="285">
        <v>0</v>
      </c>
      <c r="H165" s="283">
        <v>0</v>
      </c>
      <c r="I165" s="258">
        <v>0</v>
      </c>
      <c r="J165" s="258">
        <v>0</v>
      </c>
      <c r="K165" s="101"/>
      <c r="L165" s="103"/>
      <c r="M165" s="59"/>
      <c r="U165" s="238"/>
      <c r="V165" s="59"/>
    </row>
    <row r="166" spans="1:22" ht="15" customHeight="1" x14ac:dyDescent="0.2">
      <c r="A166" s="95" t="s">
        <v>40</v>
      </c>
      <c r="B166" s="96">
        <v>43354</v>
      </c>
      <c r="C166" s="97">
        <v>41</v>
      </c>
      <c r="D166" s="104">
        <v>633016</v>
      </c>
      <c r="E166" s="119" t="s">
        <v>16</v>
      </c>
      <c r="F166" s="100">
        <v>653.29</v>
      </c>
      <c r="G166" s="285">
        <f>310.16+479.05</f>
        <v>789.21</v>
      </c>
      <c r="H166" s="283">
        <v>371.59</v>
      </c>
      <c r="I166" s="258">
        <f>1000*1.15</f>
        <v>1150</v>
      </c>
      <c r="J166" s="258">
        <f>1000*1.15</f>
        <v>1150</v>
      </c>
      <c r="K166" s="101">
        <v>1003.26</v>
      </c>
      <c r="L166" s="103"/>
      <c r="M166" s="59"/>
      <c r="U166" s="238"/>
      <c r="V166" s="59"/>
    </row>
    <row r="167" spans="1:22" ht="15" customHeight="1" x14ac:dyDescent="0.2">
      <c r="A167" s="95" t="s">
        <v>40</v>
      </c>
      <c r="B167" s="96">
        <v>43355</v>
      </c>
      <c r="C167" s="97">
        <v>42</v>
      </c>
      <c r="D167" s="104">
        <v>633016</v>
      </c>
      <c r="E167" s="119" t="s">
        <v>16</v>
      </c>
      <c r="F167" s="100">
        <v>117.96</v>
      </c>
      <c r="G167" s="285">
        <f>37.2+60.73</f>
        <v>97.93</v>
      </c>
      <c r="H167" s="283"/>
      <c r="I167" s="101"/>
      <c r="J167" s="101"/>
      <c r="K167" s="101"/>
      <c r="L167" s="103"/>
      <c r="M167" s="59"/>
      <c r="U167" s="238"/>
      <c r="V167" s="59"/>
    </row>
    <row r="168" spans="1:22" ht="15" customHeight="1" x14ac:dyDescent="0.2">
      <c r="A168" s="95" t="s">
        <v>41</v>
      </c>
      <c r="B168" s="96">
        <v>43531</v>
      </c>
      <c r="C168" s="97">
        <v>41</v>
      </c>
      <c r="D168" s="104">
        <v>633016</v>
      </c>
      <c r="E168" s="119" t="s">
        <v>16</v>
      </c>
      <c r="F168" s="100">
        <v>0</v>
      </c>
      <c r="G168" s="285">
        <v>0</v>
      </c>
      <c r="H168" s="283"/>
      <c r="I168" s="258">
        <f>(550-72)*1.15</f>
        <v>549.69999999999993</v>
      </c>
      <c r="J168" s="258">
        <v>549.70000000000005</v>
      </c>
      <c r="K168" s="101">
        <v>55.8</v>
      </c>
      <c r="L168" s="103"/>
      <c r="M168" s="59"/>
      <c r="U168" s="238"/>
      <c r="V168" s="59"/>
    </row>
    <row r="169" spans="1:22" ht="15" customHeight="1" x14ac:dyDescent="0.2">
      <c r="A169" s="95" t="s">
        <v>41</v>
      </c>
      <c r="B169" s="96">
        <v>43531</v>
      </c>
      <c r="C169" s="97">
        <v>46</v>
      </c>
      <c r="D169" s="104">
        <v>633016</v>
      </c>
      <c r="E169" s="119" t="s">
        <v>16</v>
      </c>
      <c r="F169" s="100">
        <v>0</v>
      </c>
      <c r="G169" s="285">
        <v>0</v>
      </c>
      <c r="H169" s="283">
        <v>0</v>
      </c>
      <c r="I169" s="101">
        <v>0</v>
      </c>
      <c r="J169" s="101">
        <v>0</v>
      </c>
      <c r="K169" s="101"/>
      <c r="L169" s="103"/>
      <c r="M169" s="59"/>
      <c r="U169" s="238"/>
      <c r="V169" s="59"/>
    </row>
    <row r="170" spans="1:22" ht="15" customHeight="1" x14ac:dyDescent="0.2">
      <c r="A170" s="95" t="s">
        <v>42</v>
      </c>
      <c r="B170" s="118" t="s">
        <v>70</v>
      </c>
      <c r="C170" s="97">
        <v>41</v>
      </c>
      <c r="D170" s="104">
        <v>633016</v>
      </c>
      <c r="E170" s="119" t="s">
        <v>16</v>
      </c>
      <c r="F170" s="100">
        <v>0</v>
      </c>
      <c r="G170" s="285">
        <v>0</v>
      </c>
      <c r="H170" s="101">
        <v>0</v>
      </c>
      <c r="I170" s="258">
        <v>0</v>
      </c>
      <c r="J170" s="258">
        <v>0</v>
      </c>
      <c r="K170" s="101"/>
      <c r="L170" s="103"/>
      <c r="M170" s="59"/>
      <c r="U170" s="238"/>
      <c r="V170" s="59"/>
    </row>
    <row r="171" spans="1:22" x14ac:dyDescent="0.2">
      <c r="A171" s="88"/>
      <c r="B171" s="89"/>
      <c r="C171" s="90"/>
      <c r="D171" s="105">
        <v>634</v>
      </c>
      <c r="E171" s="106" t="s">
        <v>17</v>
      </c>
      <c r="F171" s="107">
        <f t="shared" ref="F171:H171" si="73">F172+F194+F209+F215+F222+F187</f>
        <v>91353.949999999983</v>
      </c>
      <c r="G171" s="107">
        <f t="shared" si="73"/>
        <v>112478.24</v>
      </c>
      <c r="H171" s="107">
        <f t="shared" si="73"/>
        <v>124580.54999999999</v>
      </c>
      <c r="I171" s="117">
        <f t="shared" ref="I171" si="74">I172+I187+I194+I209+I215+I222</f>
        <v>136847.5</v>
      </c>
      <c r="J171" s="117">
        <f t="shared" ref="J171" si="75">J172+J187+J194+J209+J215+J222</f>
        <v>136847.5</v>
      </c>
      <c r="K171" s="117">
        <f>K172+K187+K194+K209+K215+K222</f>
        <v>129406.95999999998</v>
      </c>
      <c r="L171" s="103"/>
      <c r="M171" s="59"/>
      <c r="U171" s="238"/>
      <c r="V171" s="59"/>
    </row>
    <row r="172" spans="1:22" x14ac:dyDescent="0.2">
      <c r="A172" s="95"/>
      <c r="B172" s="118"/>
      <c r="C172" s="97"/>
      <c r="D172" s="104">
        <v>634001</v>
      </c>
      <c r="E172" s="119" t="s">
        <v>18</v>
      </c>
      <c r="F172" s="120">
        <f t="shared" ref="F172:G172" si="76">SUM(F173:F186)</f>
        <v>48381.64</v>
      </c>
      <c r="G172" s="120">
        <f t="shared" si="76"/>
        <v>56332.65</v>
      </c>
      <c r="H172" s="288">
        <f t="shared" ref="H172" si="77">SUM(H173:H186)</f>
        <v>77788.09</v>
      </c>
      <c r="I172" s="102">
        <f t="shared" ref="I172" si="78">SUM(I173:I186)</f>
        <v>84812.5</v>
      </c>
      <c r="J172" s="102">
        <f t="shared" ref="J172:K172" si="79">SUM(J173:J186)</f>
        <v>84812.5</v>
      </c>
      <c r="K172" s="102">
        <f t="shared" si="79"/>
        <v>70505.499999999985</v>
      </c>
      <c r="L172" s="94"/>
      <c r="M172" s="59"/>
      <c r="U172" s="238"/>
      <c r="V172" s="59"/>
    </row>
    <row r="173" spans="1:22" ht="15" customHeight="1" x14ac:dyDescent="0.2">
      <c r="A173" s="95" t="s">
        <v>41</v>
      </c>
      <c r="B173" s="96">
        <v>43166</v>
      </c>
      <c r="C173" s="97">
        <v>46</v>
      </c>
      <c r="D173" s="104">
        <v>634001</v>
      </c>
      <c r="E173" s="119" t="s">
        <v>18</v>
      </c>
      <c r="F173" s="100">
        <v>0</v>
      </c>
      <c r="G173" s="285">
        <v>0</v>
      </c>
      <c r="H173" s="283"/>
      <c r="I173" s="102"/>
      <c r="J173" s="102"/>
      <c r="K173" s="102"/>
      <c r="L173" s="103"/>
      <c r="M173" s="59"/>
      <c r="U173" s="238"/>
      <c r="V173" s="59"/>
    </row>
    <row r="174" spans="1:22" ht="15" customHeight="1" x14ac:dyDescent="0.2">
      <c r="A174" s="95" t="s">
        <v>39</v>
      </c>
      <c r="B174" s="96">
        <v>44202</v>
      </c>
      <c r="C174" s="97">
        <v>41</v>
      </c>
      <c r="D174" s="104">
        <v>634001</v>
      </c>
      <c r="E174" s="119" t="s">
        <v>18</v>
      </c>
      <c r="F174" s="100">
        <v>0</v>
      </c>
      <c r="G174" s="285">
        <v>0</v>
      </c>
      <c r="H174" s="283">
        <v>0</v>
      </c>
      <c r="I174" s="257"/>
      <c r="J174" s="257"/>
      <c r="K174" s="102"/>
      <c r="L174" s="103"/>
      <c r="M174" s="59"/>
      <c r="U174" s="238"/>
      <c r="V174" s="59"/>
    </row>
    <row r="175" spans="1:22" ht="15" customHeight="1" x14ac:dyDescent="0.2">
      <c r="A175" s="95" t="s">
        <v>41</v>
      </c>
      <c r="B175" s="96">
        <v>43531</v>
      </c>
      <c r="C175" s="97">
        <v>41</v>
      </c>
      <c r="D175" s="104">
        <v>634001</v>
      </c>
      <c r="E175" s="119" t="s">
        <v>18</v>
      </c>
      <c r="F175" s="100">
        <v>16549</v>
      </c>
      <c r="G175" s="285">
        <f>16516.02+10.01</f>
        <v>16526.03</v>
      </c>
      <c r="H175" s="283">
        <v>2032.39</v>
      </c>
      <c r="I175" s="257">
        <f>5000*1.15</f>
        <v>5750</v>
      </c>
      <c r="J175" s="257">
        <f>5000*1.15</f>
        <v>5750</v>
      </c>
      <c r="K175" s="102">
        <v>3062.97</v>
      </c>
      <c r="L175" s="103"/>
      <c r="M175" s="59"/>
      <c r="U175" s="238"/>
      <c r="V175" s="59"/>
    </row>
    <row r="176" spans="1:22" ht="15" customHeight="1" x14ac:dyDescent="0.2">
      <c r="A176" s="95" t="s">
        <v>40</v>
      </c>
      <c r="B176" s="96">
        <v>43354</v>
      </c>
      <c r="C176" s="97">
        <v>41</v>
      </c>
      <c r="D176" s="104">
        <v>634001</v>
      </c>
      <c r="E176" s="119" t="s">
        <v>18</v>
      </c>
      <c r="F176" s="100">
        <v>3882.17</v>
      </c>
      <c r="G176" s="285">
        <v>30.01</v>
      </c>
      <c r="H176" s="283">
        <v>6064.87</v>
      </c>
      <c r="I176" s="257">
        <f>6000*1.15</f>
        <v>6899.9999999999991</v>
      </c>
      <c r="J176" s="257">
        <f>6000*1.15</f>
        <v>6899.9999999999991</v>
      </c>
      <c r="K176" s="102">
        <v>8553.7099999999991</v>
      </c>
      <c r="L176" s="103"/>
      <c r="M176" s="59"/>
      <c r="U176" s="238"/>
      <c r="V176" s="59"/>
    </row>
    <row r="177" spans="1:22" ht="15" customHeight="1" x14ac:dyDescent="0.2">
      <c r="A177" s="95" t="s">
        <v>39</v>
      </c>
      <c r="B177" s="96">
        <v>43106</v>
      </c>
      <c r="C177" s="97">
        <v>41</v>
      </c>
      <c r="D177" s="104">
        <v>634001</v>
      </c>
      <c r="E177" s="119" t="s">
        <v>18</v>
      </c>
      <c r="F177" s="100">
        <v>9091.94</v>
      </c>
      <c r="G177" s="285">
        <v>29197.4</v>
      </c>
      <c r="H177" s="283">
        <v>37862.78</v>
      </c>
      <c r="I177" s="257">
        <v>37950</v>
      </c>
      <c r="J177" s="257">
        <v>37950</v>
      </c>
      <c r="K177" s="102">
        <v>25918.81</v>
      </c>
      <c r="L177" s="103"/>
      <c r="M177" s="59"/>
      <c r="U177" s="238"/>
      <c r="V177" s="59"/>
    </row>
    <row r="178" spans="1:22" ht="15" customHeight="1" x14ac:dyDescent="0.2">
      <c r="A178" s="95" t="s">
        <v>42</v>
      </c>
      <c r="B178" s="96" t="s">
        <v>70</v>
      </c>
      <c r="C178" s="97">
        <v>41</v>
      </c>
      <c r="D178" s="104">
        <v>634001</v>
      </c>
      <c r="E178" s="119" t="s">
        <v>18</v>
      </c>
      <c r="F178" s="100">
        <v>0</v>
      </c>
      <c r="G178" s="285">
        <v>576.36</v>
      </c>
      <c r="H178" s="283">
        <v>900</v>
      </c>
      <c r="I178" s="257">
        <f>900*1.15</f>
        <v>1035</v>
      </c>
      <c r="J178" s="257">
        <f>900*1.15</f>
        <v>1035</v>
      </c>
      <c r="K178" s="102">
        <v>1035</v>
      </c>
      <c r="L178" s="103"/>
      <c r="M178" s="59"/>
      <c r="U178" s="238"/>
      <c r="V178" s="59"/>
    </row>
    <row r="179" spans="1:22" ht="15" customHeight="1" x14ac:dyDescent="0.2">
      <c r="A179" s="95" t="s">
        <v>42</v>
      </c>
      <c r="B179" s="96" t="s">
        <v>70</v>
      </c>
      <c r="C179" s="97">
        <v>42</v>
      </c>
      <c r="D179" s="104">
        <v>634001</v>
      </c>
      <c r="E179" s="119" t="s">
        <v>18</v>
      </c>
      <c r="F179" s="100">
        <v>106.8</v>
      </c>
      <c r="G179" s="285"/>
      <c r="H179" s="283"/>
      <c r="I179" s="102"/>
      <c r="J179" s="102"/>
      <c r="K179" s="102"/>
      <c r="L179" s="103"/>
      <c r="M179" s="59"/>
      <c r="U179" s="238"/>
      <c r="V179" s="59"/>
    </row>
    <row r="180" spans="1:22" ht="15" customHeight="1" x14ac:dyDescent="0.2">
      <c r="A180" s="95" t="s">
        <v>38</v>
      </c>
      <c r="B180" s="110">
        <v>43224</v>
      </c>
      <c r="C180" s="97">
        <v>41</v>
      </c>
      <c r="D180" s="104">
        <v>634001</v>
      </c>
      <c r="E180" s="119" t="s">
        <v>18</v>
      </c>
      <c r="F180" s="100">
        <v>0</v>
      </c>
      <c r="G180" s="285">
        <v>0</v>
      </c>
      <c r="H180" s="283">
        <v>0</v>
      </c>
      <c r="I180" s="257"/>
      <c r="J180" s="257"/>
      <c r="K180" s="102"/>
      <c r="L180" s="103"/>
      <c r="M180" s="59"/>
      <c r="U180" s="238"/>
      <c r="V180" s="59"/>
    </row>
    <row r="181" spans="1:22" ht="15" customHeight="1" x14ac:dyDescent="0.2">
      <c r="A181" s="95" t="s">
        <v>41</v>
      </c>
      <c r="B181" s="110">
        <v>43166</v>
      </c>
      <c r="C181" s="97">
        <v>42</v>
      </c>
      <c r="D181" s="104">
        <v>634001</v>
      </c>
      <c r="E181" s="119" t="s">
        <v>18</v>
      </c>
      <c r="F181" s="100">
        <v>0</v>
      </c>
      <c r="G181" s="285">
        <v>5256.5</v>
      </c>
      <c r="H181" s="283">
        <v>651.36</v>
      </c>
      <c r="I181" s="102"/>
      <c r="J181" s="102"/>
      <c r="K181" s="102"/>
      <c r="L181" s="103"/>
      <c r="M181" s="59"/>
      <c r="U181" s="238"/>
      <c r="V181" s="59"/>
    </row>
    <row r="182" spans="1:22" ht="15" customHeight="1" x14ac:dyDescent="0.2">
      <c r="A182" s="95" t="s">
        <v>41</v>
      </c>
      <c r="B182" s="110">
        <v>43531</v>
      </c>
      <c r="C182" s="97">
        <v>46</v>
      </c>
      <c r="D182" s="104">
        <v>634001</v>
      </c>
      <c r="E182" s="119" t="s">
        <v>18</v>
      </c>
      <c r="F182" s="100">
        <v>0</v>
      </c>
      <c r="G182" s="285">
        <v>0</v>
      </c>
      <c r="H182" s="283">
        <v>5327.76</v>
      </c>
      <c r="I182" s="102">
        <f>(2000+5000)*1.15</f>
        <v>8049.9999999999991</v>
      </c>
      <c r="J182" s="102">
        <f>(2000+5000)*1.15</f>
        <v>8049.9999999999991</v>
      </c>
      <c r="K182" s="102"/>
      <c r="L182" s="103"/>
      <c r="M182" s="59"/>
      <c r="U182" s="238"/>
      <c r="V182" s="59"/>
    </row>
    <row r="183" spans="1:22" ht="15" customHeight="1" x14ac:dyDescent="0.2">
      <c r="A183" s="95" t="s">
        <v>39</v>
      </c>
      <c r="B183" s="110">
        <v>43106</v>
      </c>
      <c r="C183" s="97">
        <v>42</v>
      </c>
      <c r="D183" s="104">
        <v>634001</v>
      </c>
      <c r="E183" s="119" t="s">
        <v>18</v>
      </c>
      <c r="F183" s="100">
        <v>0</v>
      </c>
      <c r="G183" s="285">
        <v>0</v>
      </c>
      <c r="H183" s="283"/>
      <c r="I183" s="102"/>
      <c r="J183" s="102"/>
      <c r="K183" s="102"/>
      <c r="L183" s="103"/>
      <c r="M183" s="59"/>
      <c r="U183" s="238"/>
      <c r="V183" s="59"/>
    </row>
    <row r="184" spans="1:22" ht="15" customHeight="1" x14ac:dyDescent="0.2">
      <c r="A184" s="109" t="s">
        <v>39</v>
      </c>
      <c r="B184" s="110">
        <v>43106</v>
      </c>
      <c r="C184" s="97">
        <v>46</v>
      </c>
      <c r="D184" s="104">
        <v>634001</v>
      </c>
      <c r="E184" s="119" t="s">
        <v>18</v>
      </c>
      <c r="F184" s="100">
        <v>11675.34</v>
      </c>
      <c r="G184" s="285">
        <v>4746.3500000000004</v>
      </c>
      <c r="H184" s="283">
        <v>22367.5</v>
      </c>
      <c r="I184" s="102">
        <f>(5500+4000)*1.15</f>
        <v>10925</v>
      </c>
      <c r="J184" s="102">
        <f>(5500+4000)*1.15</f>
        <v>10925</v>
      </c>
      <c r="K184" s="102">
        <v>27327.53</v>
      </c>
      <c r="L184" s="103"/>
      <c r="M184" s="59"/>
      <c r="U184" s="238"/>
      <c r="V184" s="59"/>
    </row>
    <row r="185" spans="1:22" ht="15" customHeight="1" x14ac:dyDescent="0.2">
      <c r="A185" s="95" t="s">
        <v>40</v>
      </c>
      <c r="B185" s="110">
        <v>43354</v>
      </c>
      <c r="C185" s="97">
        <v>46</v>
      </c>
      <c r="D185" s="104">
        <v>634001</v>
      </c>
      <c r="E185" s="119" t="s">
        <v>18</v>
      </c>
      <c r="F185" s="100">
        <v>0</v>
      </c>
      <c r="G185" s="285">
        <v>0</v>
      </c>
      <c r="H185" s="283"/>
      <c r="I185" s="102">
        <f>(1000+4000)*1.15</f>
        <v>5750</v>
      </c>
      <c r="J185" s="102">
        <f>(1000+4000)*1.15</f>
        <v>5750</v>
      </c>
      <c r="K185" s="102">
        <v>4607.4799999999996</v>
      </c>
      <c r="L185" s="103"/>
      <c r="M185" s="59"/>
      <c r="U185" s="238"/>
      <c r="V185" s="59"/>
    </row>
    <row r="186" spans="1:22" ht="15" customHeight="1" x14ac:dyDescent="0.2">
      <c r="A186" s="129" t="s">
        <v>40</v>
      </c>
      <c r="B186" s="110">
        <v>43719</v>
      </c>
      <c r="C186" s="97">
        <v>42</v>
      </c>
      <c r="D186" s="104">
        <v>634001</v>
      </c>
      <c r="E186" s="119" t="s">
        <v>18</v>
      </c>
      <c r="F186" s="100">
        <v>7076.39</v>
      </c>
      <c r="G186" s="285">
        <v>0</v>
      </c>
      <c r="H186" s="283">
        <v>2581.4299999999998</v>
      </c>
      <c r="I186" s="102">
        <f>(3350+4000)*1.15</f>
        <v>8452.5</v>
      </c>
      <c r="J186" s="102">
        <f>(3350+4000)*1.15</f>
        <v>8452.5</v>
      </c>
      <c r="K186" s="102">
        <v>0</v>
      </c>
      <c r="L186" s="103"/>
      <c r="M186" s="59"/>
      <c r="U186" s="238"/>
      <c r="V186" s="59"/>
    </row>
    <row r="187" spans="1:22" x14ac:dyDescent="0.2">
      <c r="A187" s="95"/>
      <c r="B187" s="96"/>
      <c r="C187" s="97"/>
      <c r="D187" s="104">
        <v>634003</v>
      </c>
      <c r="E187" s="119" t="s">
        <v>156</v>
      </c>
      <c r="F187" s="100">
        <f t="shared" ref="F187" si="80">SUM(F188:F193)</f>
        <v>582.12</v>
      </c>
      <c r="G187" s="285">
        <f t="shared" ref="G187" si="81">SUM(G188:G192)</f>
        <v>0</v>
      </c>
      <c r="H187" s="283">
        <f t="shared" ref="H187" si="82">SUM(H188:H192)</f>
        <v>8383.31</v>
      </c>
      <c r="I187" s="101">
        <f t="shared" ref="I187" si="83">SUM(I188:I193)</f>
        <v>0</v>
      </c>
      <c r="J187" s="101">
        <f t="shared" ref="J187:K187" si="84">SUM(J188:J193)</f>
        <v>0</v>
      </c>
      <c r="K187" s="101">
        <f t="shared" si="84"/>
        <v>0</v>
      </c>
      <c r="L187" s="103"/>
      <c r="M187" s="59"/>
      <c r="U187" s="238"/>
      <c r="V187" s="59"/>
    </row>
    <row r="188" spans="1:22" ht="15" customHeight="1" x14ac:dyDescent="0.2">
      <c r="A188" s="129" t="s">
        <v>40</v>
      </c>
      <c r="B188" s="110">
        <v>43719</v>
      </c>
      <c r="C188" s="97">
        <v>41</v>
      </c>
      <c r="D188" s="104">
        <v>634003</v>
      </c>
      <c r="E188" s="119" t="s">
        <v>156</v>
      </c>
      <c r="F188" s="100"/>
      <c r="G188" s="285"/>
      <c r="H188" s="283">
        <v>199.27</v>
      </c>
      <c r="I188" s="258">
        <v>0</v>
      </c>
      <c r="J188" s="258">
        <v>0</v>
      </c>
      <c r="K188" s="101"/>
      <c r="L188" s="103"/>
      <c r="M188" s="59"/>
      <c r="U188" s="238"/>
      <c r="V188" s="59"/>
    </row>
    <row r="189" spans="1:22" ht="15" customHeight="1" x14ac:dyDescent="0.2">
      <c r="A189" s="129" t="s">
        <v>40</v>
      </c>
      <c r="B189" s="110">
        <v>43720</v>
      </c>
      <c r="C189" s="97">
        <v>42</v>
      </c>
      <c r="D189" s="104">
        <v>634003</v>
      </c>
      <c r="E189" s="119" t="s">
        <v>156</v>
      </c>
      <c r="F189" s="100"/>
      <c r="G189" s="285"/>
      <c r="H189" s="283"/>
      <c r="I189" s="101">
        <v>0</v>
      </c>
      <c r="J189" s="101">
        <v>0</v>
      </c>
      <c r="K189" s="101"/>
      <c r="L189" s="103"/>
      <c r="M189" s="59"/>
      <c r="U189" s="238"/>
      <c r="V189" s="59"/>
    </row>
    <row r="190" spans="1:22" ht="15" customHeight="1" x14ac:dyDescent="0.2">
      <c r="A190" s="129" t="s">
        <v>40</v>
      </c>
      <c r="B190" s="110">
        <v>43721</v>
      </c>
      <c r="C190" s="97">
        <v>46</v>
      </c>
      <c r="D190" s="104">
        <v>634003</v>
      </c>
      <c r="E190" s="119" t="s">
        <v>156</v>
      </c>
      <c r="F190" s="100">
        <v>582.12</v>
      </c>
      <c r="G190" s="285"/>
      <c r="H190" s="283"/>
      <c r="I190" s="101">
        <v>0</v>
      </c>
      <c r="J190" s="101">
        <v>0</v>
      </c>
      <c r="K190" s="101"/>
      <c r="L190" s="103"/>
      <c r="M190" s="59"/>
      <c r="U190" s="238"/>
      <c r="V190" s="59"/>
    </row>
    <row r="191" spans="1:22" ht="15" customHeight="1" x14ac:dyDescent="0.2">
      <c r="A191" s="129" t="s">
        <v>41</v>
      </c>
      <c r="B191" s="110">
        <v>44627</v>
      </c>
      <c r="C191" s="97">
        <v>41</v>
      </c>
      <c r="D191" s="104">
        <v>634003</v>
      </c>
      <c r="E191" s="119" t="s">
        <v>156</v>
      </c>
      <c r="F191" s="100"/>
      <c r="G191" s="285"/>
      <c r="H191" s="283"/>
      <c r="I191" s="258">
        <v>0</v>
      </c>
      <c r="J191" s="258">
        <v>0</v>
      </c>
      <c r="K191" s="101"/>
      <c r="L191" s="103"/>
      <c r="M191" s="59"/>
      <c r="U191" s="238"/>
      <c r="V191" s="59"/>
    </row>
    <row r="192" spans="1:22" ht="15" customHeight="1" x14ac:dyDescent="0.2">
      <c r="A192" s="95" t="s">
        <v>42</v>
      </c>
      <c r="B192" s="96" t="s">
        <v>70</v>
      </c>
      <c r="C192" s="97">
        <v>42</v>
      </c>
      <c r="D192" s="104">
        <v>634003</v>
      </c>
      <c r="E192" s="119" t="s">
        <v>156</v>
      </c>
      <c r="F192" s="100"/>
      <c r="G192" s="285"/>
      <c r="H192" s="283">
        <v>8184.04</v>
      </c>
      <c r="I192" s="101">
        <v>0</v>
      </c>
      <c r="J192" s="101">
        <v>0</v>
      </c>
      <c r="K192" s="101"/>
      <c r="L192" s="103"/>
      <c r="M192" s="59"/>
      <c r="U192" s="238"/>
      <c r="V192" s="59"/>
    </row>
    <row r="193" spans="1:22" ht="15" customHeight="1" x14ac:dyDescent="0.2">
      <c r="A193" s="129" t="s">
        <v>39</v>
      </c>
      <c r="B193" s="110">
        <v>43471</v>
      </c>
      <c r="C193" s="97">
        <v>41</v>
      </c>
      <c r="D193" s="104">
        <v>634003</v>
      </c>
      <c r="E193" s="119" t="s">
        <v>156</v>
      </c>
      <c r="F193" s="100"/>
      <c r="G193" s="100"/>
      <c r="H193" s="101"/>
      <c r="I193" s="258">
        <v>0</v>
      </c>
      <c r="J193" s="258">
        <v>0</v>
      </c>
      <c r="K193" s="101"/>
      <c r="L193" s="103"/>
      <c r="M193" s="59"/>
      <c r="U193" s="238"/>
      <c r="V193" s="59"/>
    </row>
    <row r="194" spans="1:22" x14ac:dyDescent="0.2">
      <c r="A194" s="95"/>
      <c r="B194" s="96"/>
      <c r="C194" s="97"/>
      <c r="D194" s="104"/>
      <c r="E194" s="119" t="s">
        <v>98</v>
      </c>
      <c r="F194" s="100">
        <f t="shared" ref="F194:I194" si="85">SUM(F195:F208)</f>
        <v>36317.729999999996</v>
      </c>
      <c r="G194" s="100">
        <f t="shared" si="85"/>
        <v>45571.010000000009</v>
      </c>
      <c r="H194" s="283">
        <f t="shared" ref="H194" si="86">SUM(H195:H208)</f>
        <v>36006.119999999995</v>
      </c>
      <c r="I194" s="228">
        <f t="shared" si="85"/>
        <v>39500</v>
      </c>
      <c r="J194" s="228">
        <f t="shared" ref="J194:K194" si="87">SUM(J195:J208)</f>
        <v>39500</v>
      </c>
      <c r="K194" s="228">
        <f t="shared" si="87"/>
        <v>41502.79</v>
      </c>
      <c r="L194" s="103"/>
      <c r="M194" s="59"/>
      <c r="U194" s="238"/>
      <c r="V194" s="59"/>
    </row>
    <row r="195" spans="1:22" ht="15" customHeight="1" x14ac:dyDescent="0.2">
      <c r="A195" s="95" t="s">
        <v>41</v>
      </c>
      <c r="B195" s="96">
        <v>43166</v>
      </c>
      <c r="C195" s="97">
        <v>46</v>
      </c>
      <c r="D195" s="104">
        <v>634002</v>
      </c>
      <c r="E195" s="119" t="s">
        <v>19</v>
      </c>
      <c r="F195" s="100">
        <v>0</v>
      </c>
      <c r="G195" s="285">
        <v>4810.4399999999996</v>
      </c>
      <c r="H195" s="283">
        <v>3403.16</v>
      </c>
      <c r="I195" s="101">
        <v>0</v>
      </c>
      <c r="J195" s="101">
        <v>0</v>
      </c>
      <c r="K195" s="101">
        <v>884.72</v>
      </c>
      <c r="L195" s="103"/>
      <c r="M195" s="59"/>
      <c r="U195" s="238"/>
      <c r="V195" s="59"/>
    </row>
    <row r="196" spans="1:22" ht="15" customHeight="1" x14ac:dyDescent="0.2">
      <c r="A196" s="95" t="s">
        <v>41</v>
      </c>
      <c r="B196" s="96">
        <v>43166</v>
      </c>
      <c r="C196" s="97">
        <v>41</v>
      </c>
      <c r="D196" s="104">
        <v>634002</v>
      </c>
      <c r="E196" s="119" t="s">
        <v>19</v>
      </c>
      <c r="F196" s="100">
        <v>15613.91</v>
      </c>
      <c r="G196" s="285">
        <v>29928.92</v>
      </c>
      <c r="H196" s="283">
        <v>16142.64</v>
      </c>
      <c r="I196" s="259">
        <f>(11000*1.15)+5000</f>
        <v>17650</v>
      </c>
      <c r="J196" s="259">
        <f>(11000*1.15)+5000</f>
        <v>17650</v>
      </c>
      <c r="K196" s="121">
        <v>13677.19</v>
      </c>
      <c r="L196" s="103"/>
      <c r="M196" s="59"/>
      <c r="U196" s="238"/>
      <c r="V196" s="59"/>
    </row>
    <row r="197" spans="1:22" ht="15" customHeight="1" x14ac:dyDescent="0.2">
      <c r="A197" s="95" t="s">
        <v>41</v>
      </c>
      <c r="B197" s="96">
        <v>43531</v>
      </c>
      <c r="C197" s="97">
        <v>42</v>
      </c>
      <c r="D197" s="104">
        <v>634002</v>
      </c>
      <c r="E197" s="119" t="s">
        <v>19</v>
      </c>
      <c r="F197" s="100">
        <v>4954.96</v>
      </c>
      <c r="G197" s="285">
        <v>5529.88</v>
      </c>
      <c r="H197" s="283">
        <v>5153.33</v>
      </c>
      <c r="I197" s="101">
        <f>3000*1.15</f>
        <v>3449.9999999999995</v>
      </c>
      <c r="J197" s="101">
        <f>3000*1.15</f>
        <v>3449.9999999999995</v>
      </c>
      <c r="K197" s="101">
        <v>2061.73</v>
      </c>
      <c r="L197" s="103"/>
      <c r="M197" s="59"/>
      <c r="U197" s="238"/>
      <c r="V197" s="59"/>
    </row>
    <row r="198" spans="1:22" ht="15" customHeight="1" x14ac:dyDescent="0.2">
      <c r="A198" s="95" t="s">
        <v>42</v>
      </c>
      <c r="B198" s="96" t="s">
        <v>70</v>
      </c>
      <c r="C198" s="97">
        <v>41</v>
      </c>
      <c r="D198" s="104">
        <v>634002</v>
      </c>
      <c r="E198" s="119" t="s">
        <v>19</v>
      </c>
      <c r="F198" s="100">
        <v>39.6</v>
      </c>
      <c r="G198" s="285">
        <v>180.62</v>
      </c>
      <c r="H198" s="283">
        <v>698.24</v>
      </c>
      <c r="I198" s="258">
        <f>700*1.15</f>
        <v>804.99999999999989</v>
      </c>
      <c r="J198" s="258">
        <f>700*1.15</f>
        <v>804.99999999999989</v>
      </c>
      <c r="K198" s="101">
        <v>804.38</v>
      </c>
      <c r="L198" s="103"/>
      <c r="M198" s="59"/>
      <c r="U198" s="238"/>
      <c r="V198" s="59"/>
    </row>
    <row r="199" spans="1:22" ht="15" customHeight="1" x14ac:dyDescent="0.2">
      <c r="A199" s="95" t="s">
        <v>39</v>
      </c>
      <c r="B199" s="96">
        <v>43106</v>
      </c>
      <c r="C199" s="97">
        <v>41</v>
      </c>
      <c r="D199" s="104">
        <v>634002</v>
      </c>
      <c r="E199" s="119" t="s">
        <v>19</v>
      </c>
      <c r="F199" s="100">
        <v>5582.81</v>
      </c>
      <c r="G199" s="285">
        <v>974.44</v>
      </c>
      <c r="H199" s="283">
        <v>2999.13</v>
      </c>
      <c r="I199" s="258">
        <v>5750</v>
      </c>
      <c r="J199" s="258">
        <v>5750</v>
      </c>
      <c r="K199" s="101">
        <v>5891.41</v>
      </c>
      <c r="L199" s="103"/>
      <c r="M199" s="59"/>
      <c r="U199" s="238"/>
      <c r="V199" s="59"/>
    </row>
    <row r="200" spans="1:22" ht="15" customHeight="1" x14ac:dyDescent="0.2">
      <c r="A200" s="95" t="s">
        <v>39</v>
      </c>
      <c r="B200" s="96">
        <v>43471</v>
      </c>
      <c r="C200" s="97">
        <v>46</v>
      </c>
      <c r="D200" s="104">
        <v>634002</v>
      </c>
      <c r="E200" s="119" t="s">
        <v>19</v>
      </c>
      <c r="F200" s="100">
        <v>0</v>
      </c>
      <c r="G200" s="285">
        <v>0</v>
      </c>
      <c r="H200" s="283">
        <f>1459.26+337.52</f>
        <v>1796.78</v>
      </c>
      <c r="I200" s="101">
        <f>1500*1.15</f>
        <v>1724.9999999999998</v>
      </c>
      <c r="J200" s="101">
        <f>1500*1.15</f>
        <v>1724.9999999999998</v>
      </c>
      <c r="K200" s="101">
        <v>4999.62</v>
      </c>
      <c r="L200" s="103"/>
      <c r="M200" s="59"/>
      <c r="U200" s="238"/>
      <c r="V200" s="59"/>
    </row>
    <row r="201" spans="1:22" ht="15" customHeight="1" x14ac:dyDescent="0.2">
      <c r="A201" s="95" t="s">
        <v>40</v>
      </c>
      <c r="B201" s="96">
        <v>43354</v>
      </c>
      <c r="C201" s="97">
        <v>41</v>
      </c>
      <c r="D201" s="104">
        <v>634002</v>
      </c>
      <c r="E201" s="119" t="s">
        <v>19</v>
      </c>
      <c r="F201" s="100">
        <v>3045.92</v>
      </c>
      <c r="G201" s="285">
        <v>912.47</v>
      </c>
      <c r="H201" s="283">
        <v>4998.82</v>
      </c>
      <c r="I201" s="258">
        <f>7000*1.15</f>
        <v>8049.9999999999991</v>
      </c>
      <c r="J201" s="258">
        <f>7000*1.15</f>
        <v>8049.9999999999991</v>
      </c>
      <c r="K201" s="101">
        <v>9138.99</v>
      </c>
      <c r="L201" s="103"/>
      <c r="M201" s="59"/>
      <c r="U201" s="238"/>
      <c r="V201" s="59"/>
    </row>
    <row r="202" spans="1:22" ht="15" customHeight="1" x14ac:dyDescent="0.2">
      <c r="A202" s="95" t="s">
        <v>38</v>
      </c>
      <c r="B202" s="96">
        <v>43224</v>
      </c>
      <c r="C202" s="97">
        <v>41</v>
      </c>
      <c r="D202" s="104">
        <v>634002</v>
      </c>
      <c r="E202" s="119" t="s">
        <v>95</v>
      </c>
      <c r="F202" s="100">
        <v>0</v>
      </c>
      <c r="G202" s="285">
        <v>0</v>
      </c>
      <c r="H202" s="283">
        <v>0</v>
      </c>
      <c r="I202" s="258">
        <v>0</v>
      </c>
      <c r="J202" s="258">
        <v>0</v>
      </c>
      <c r="K202" s="101"/>
      <c r="L202" s="103"/>
      <c r="M202" s="59"/>
      <c r="U202" s="238"/>
      <c r="V202" s="59"/>
    </row>
    <row r="203" spans="1:22" ht="15" customHeight="1" x14ac:dyDescent="0.2">
      <c r="A203" s="95" t="s">
        <v>38</v>
      </c>
      <c r="B203" s="96">
        <v>44320</v>
      </c>
      <c r="C203" s="97">
        <v>42</v>
      </c>
      <c r="D203" s="104">
        <v>634002</v>
      </c>
      <c r="E203" s="119" t="s">
        <v>95</v>
      </c>
      <c r="F203" s="100">
        <v>468</v>
      </c>
      <c r="G203" s="285"/>
      <c r="H203" s="283">
        <v>0</v>
      </c>
      <c r="I203" s="101">
        <f>300*1.15</f>
        <v>345</v>
      </c>
      <c r="J203" s="101">
        <f>300*1.15</f>
        <v>345</v>
      </c>
      <c r="K203" s="101">
        <v>178.98</v>
      </c>
      <c r="L203" s="103"/>
      <c r="M203" s="59"/>
      <c r="U203" s="238"/>
      <c r="V203" s="59"/>
    </row>
    <row r="204" spans="1:22" ht="15" customHeight="1" x14ac:dyDescent="0.2">
      <c r="A204" s="95" t="s">
        <v>39</v>
      </c>
      <c r="B204" s="96">
        <v>43106</v>
      </c>
      <c r="C204" s="97">
        <v>42</v>
      </c>
      <c r="D204" s="104">
        <v>634002</v>
      </c>
      <c r="E204" s="119" t="s">
        <v>19</v>
      </c>
      <c r="F204" s="100">
        <v>464.37</v>
      </c>
      <c r="G204" s="285">
        <v>0</v>
      </c>
      <c r="H204" s="283"/>
      <c r="I204" s="101">
        <v>0</v>
      </c>
      <c r="J204" s="101">
        <v>0</v>
      </c>
      <c r="K204" s="101"/>
      <c r="L204" s="103"/>
      <c r="M204" s="59"/>
      <c r="U204" s="238"/>
      <c r="V204" s="59"/>
    </row>
    <row r="205" spans="1:22" ht="15" customHeight="1" x14ac:dyDescent="0.2">
      <c r="A205" s="95" t="s">
        <v>40</v>
      </c>
      <c r="B205" s="96">
        <v>43531</v>
      </c>
      <c r="C205" s="97">
        <v>41</v>
      </c>
      <c r="D205" s="104">
        <v>634002</v>
      </c>
      <c r="E205" s="119" t="s">
        <v>19</v>
      </c>
      <c r="F205" s="100">
        <v>0</v>
      </c>
      <c r="G205" s="285">
        <v>0</v>
      </c>
      <c r="H205" s="283"/>
      <c r="I205" s="258">
        <v>0</v>
      </c>
      <c r="J205" s="258">
        <v>0</v>
      </c>
      <c r="K205" s="101"/>
      <c r="L205" s="103"/>
      <c r="M205" s="59"/>
      <c r="U205" s="238"/>
      <c r="V205" s="59"/>
    </row>
    <row r="206" spans="1:22" ht="15" customHeight="1" x14ac:dyDescent="0.2">
      <c r="A206" s="95" t="s">
        <v>42</v>
      </c>
      <c r="B206" s="96" t="s">
        <v>70</v>
      </c>
      <c r="C206" s="97">
        <v>42</v>
      </c>
      <c r="D206" s="104">
        <v>634002</v>
      </c>
      <c r="E206" s="119" t="s">
        <v>19</v>
      </c>
      <c r="F206" s="100">
        <v>956.59</v>
      </c>
      <c r="G206" s="285"/>
      <c r="H206" s="283"/>
      <c r="I206" s="101"/>
      <c r="J206" s="101"/>
      <c r="K206" s="101"/>
      <c r="L206" s="103"/>
      <c r="M206" s="59"/>
      <c r="U206" s="238"/>
      <c r="V206" s="59"/>
    </row>
    <row r="207" spans="1:22" ht="15" customHeight="1" x14ac:dyDescent="0.2">
      <c r="A207" s="95" t="s">
        <v>40</v>
      </c>
      <c r="B207" s="96">
        <v>43719</v>
      </c>
      <c r="C207" s="97">
        <v>42</v>
      </c>
      <c r="D207" s="104">
        <v>634002</v>
      </c>
      <c r="E207" s="119" t="s">
        <v>19</v>
      </c>
      <c r="F207" s="100">
        <v>805.57</v>
      </c>
      <c r="G207" s="285">
        <v>2408.16</v>
      </c>
      <c r="H207" s="283"/>
      <c r="I207" s="101">
        <f>1000*1.15</f>
        <v>1150</v>
      </c>
      <c r="J207" s="101">
        <f>1000*1.15</f>
        <v>1150</v>
      </c>
      <c r="K207" s="101">
        <v>802.32</v>
      </c>
      <c r="L207" s="103"/>
      <c r="M207" s="59"/>
      <c r="U207" s="238"/>
      <c r="V207" s="59"/>
    </row>
    <row r="208" spans="1:22" ht="15" customHeight="1" x14ac:dyDescent="0.2">
      <c r="A208" s="95" t="s">
        <v>40</v>
      </c>
      <c r="B208" s="96">
        <v>43354</v>
      </c>
      <c r="C208" s="97">
        <v>46</v>
      </c>
      <c r="D208" s="104">
        <v>634002</v>
      </c>
      <c r="E208" s="119" t="s">
        <v>19</v>
      </c>
      <c r="F208" s="100">
        <v>4386</v>
      </c>
      <c r="G208" s="285">
        <v>826.08</v>
      </c>
      <c r="H208" s="283">
        <v>814.02</v>
      </c>
      <c r="I208" s="101">
        <f>500*1.15</f>
        <v>575</v>
      </c>
      <c r="J208" s="101">
        <f>500*1.15</f>
        <v>575</v>
      </c>
      <c r="K208" s="101">
        <v>3063.45</v>
      </c>
      <c r="L208" s="103"/>
      <c r="M208" s="59"/>
      <c r="U208" s="238"/>
      <c r="V208" s="59"/>
    </row>
    <row r="209" spans="1:22" x14ac:dyDescent="0.2">
      <c r="A209" s="62"/>
      <c r="B209" s="118"/>
      <c r="C209" s="97"/>
      <c r="D209" s="104">
        <v>634005</v>
      </c>
      <c r="E209" s="119" t="s">
        <v>20</v>
      </c>
      <c r="F209" s="120">
        <f t="shared" ref="F209" si="88">SUM(F210:F214)</f>
        <v>568</v>
      </c>
      <c r="G209" s="120">
        <f>SUM(G210:G214)</f>
        <v>476</v>
      </c>
      <c r="H209" s="288">
        <f t="shared" ref="H209" si="89">SUM(H210:H214)</f>
        <v>574</v>
      </c>
      <c r="I209" s="102"/>
      <c r="J209" s="102"/>
      <c r="K209" s="102"/>
      <c r="L209" s="103"/>
      <c r="M209" s="59"/>
      <c r="U209" s="238"/>
      <c r="V209" s="59"/>
    </row>
    <row r="210" spans="1:22" ht="15" customHeight="1" x14ac:dyDescent="0.2">
      <c r="A210" s="95" t="s">
        <v>39</v>
      </c>
      <c r="B210" s="96">
        <v>43106</v>
      </c>
      <c r="C210" s="97">
        <v>41</v>
      </c>
      <c r="D210" s="104">
        <v>634005</v>
      </c>
      <c r="E210" s="119" t="s">
        <v>20</v>
      </c>
      <c r="F210" s="100">
        <v>13</v>
      </c>
      <c r="G210" s="285">
        <v>6</v>
      </c>
      <c r="H210" s="283">
        <v>150</v>
      </c>
      <c r="I210" s="257"/>
      <c r="J210" s="257"/>
      <c r="K210" s="102"/>
      <c r="L210" s="103"/>
      <c r="M210" s="59"/>
      <c r="U210" s="238"/>
      <c r="V210" s="59"/>
    </row>
    <row r="211" spans="1:22" ht="15" customHeight="1" x14ac:dyDescent="0.2">
      <c r="A211" s="95" t="s">
        <v>41</v>
      </c>
      <c r="B211" s="96">
        <v>43166</v>
      </c>
      <c r="C211" s="97">
        <v>41</v>
      </c>
      <c r="D211" s="104">
        <v>634005</v>
      </c>
      <c r="E211" s="119" t="s">
        <v>20</v>
      </c>
      <c r="F211" s="100">
        <v>505</v>
      </c>
      <c r="G211" s="285">
        <v>470</v>
      </c>
      <c r="H211" s="283">
        <v>374</v>
      </c>
      <c r="I211" s="257"/>
      <c r="J211" s="257"/>
      <c r="K211" s="102"/>
      <c r="L211" s="103"/>
      <c r="M211" s="59"/>
      <c r="U211" s="238"/>
      <c r="V211" s="59"/>
    </row>
    <row r="212" spans="1:22" ht="15" customHeight="1" x14ac:dyDescent="0.2">
      <c r="A212" s="95" t="s">
        <v>40</v>
      </c>
      <c r="B212" s="96">
        <v>43354</v>
      </c>
      <c r="C212" s="97">
        <v>41</v>
      </c>
      <c r="D212" s="104">
        <v>634005</v>
      </c>
      <c r="E212" s="119" t="s">
        <v>20</v>
      </c>
      <c r="F212" s="100">
        <v>50</v>
      </c>
      <c r="G212" s="285">
        <v>0</v>
      </c>
      <c r="H212" s="283">
        <v>50</v>
      </c>
      <c r="I212" s="257"/>
      <c r="J212" s="257"/>
      <c r="K212" s="102"/>
      <c r="L212" s="103"/>
      <c r="M212" s="59"/>
      <c r="U212" s="238"/>
      <c r="V212" s="59"/>
    </row>
    <row r="213" spans="1:22" ht="15" customHeight="1" x14ac:dyDescent="0.2">
      <c r="A213" s="95" t="s">
        <v>40</v>
      </c>
      <c r="B213" s="96">
        <v>43719</v>
      </c>
      <c r="C213" s="97">
        <v>42</v>
      </c>
      <c r="D213" s="104">
        <v>634005</v>
      </c>
      <c r="E213" s="119" t="s">
        <v>20</v>
      </c>
      <c r="F213" s="100">
        <v>0</v>
      </c>
      <c r="G213" s="285">
        <v>0</v>
      </c>
      <c r="H213" s="283"/>
      <c r="I213" s="102"/>
      <c r="J213" s="102"/>
      <c r="K213" s="102"/>
      <c r="L213" s="103"/>
      <c r="M213" s="59"/>
      <c r="U213" s="238"/>
      <c r="V213" s="59"/>
    </row>
    <row r="214" spans="1:22" ht="15" customHeight="1" x14ac:dyDescent="0.2">
      <c r="A214" s="95" t="s">
        <v>40</v>
      </c>
      <c r="B214" s="96">
        <v>43354</v>
      </c>
      <c r="C214" s="97">
        <v>46</v>
      </c>
      <c r="D214" s="104">
        <v>634005</v>
      </c>
      <c r="E214" s="119" t="s">
        <v>20</v>
      </c>
      <c r="F214" s="100">
        <v>0</v>
      </c>
      <c r="G214" s="285">
        <v>0</v>
      </c>
      <c r="H214" s="283"/>
      <c r="I214" s="102"/>
      <c r="J214" s="102"/>
      <c r="K214" s="102"/>
      <c r="L214" s="103"/>
      <c r="M214" s="59"/>
      <c r="U214" s="238"/>
      <c r="V214" s="59"/>
    </row>
    <row r="215" spans="1:22" x14ac:dyDescent="0.2">
      <c r="A215" s="62"/>
      <c r="B215" s="96"/>
      <c r="C215" s="111"/>
      <c r="D215" s="104">
        <v>634003</v>
      </c>
      <c r="E215" s="119" t="s">
        <v>75</v>
      </c>
      <c r="F215" s="134">
        <f t="shared" ref="F215" si="90">SUM(F216:F221)</f>
        <v>3788.98</v>
      </c>
      <c r="G215" s="290">
        <f t="shared" ref="G215" si="91">SUM(G216:G221)</f>
        <v>5360.46</v>
      </c>
      <c r="H215" s="290">
        <f t="shared" ref="H215" si="92">SUM(H216:H221)</f>
        <v>750.64</v>
      </c>
      <c r="I215" s="260">
        <f t="shared" ref="I215" si="93">SUM(I216:I221)</f>
        <v>9085</v>
      </c>
      <c r="J215" s="260">
        <f t="shared" ref="J215:K215" si="94">SUM(J216:J221)</f>
        <v>9085</v>
      </c>
      <c r="K215" s="260">
        <f t="shared" si="94"/>
        <v>9095.119999999999</v>
      </c>
      <c r="L215" s="103"/>
      <c r="M215" s="59"/>
      <c r="U215" s="238"/>
      <c r="V215" s="59"/>
    </row>
    <row r="216" spans="1:22" ht="15" customHeight="1" x14ac:dyDescent="0.2">
      <c r="A216" s="95" t="s">
        <v>40</v>
      </c>
      <c r="B216" s="96">
        <v>43354</v>
      </c>
      <c r="C216" s="97">
        <v>41</v>
      </c>
      <c r="D216" s="104">
        <v>634003</v>
      </c>
      <c r="E216" s="119" t="s">
        <v>67</v>
      </c>
      <c r="F216" s="100">
        <v>778.18</v>
      </c>
      <c r="G216" s="285">
        <v>0</v>
      </c>
      <c r="H216" s="283"/>
      <c r="I216" s="258">
        <f>3700*1.15</f>
        <v>4255</v>
      </c>
      <c r="J216" s="258">
        <f>3700*1.15</f>
        <v>4255</v>
      </c>
      <c r="K216" s="101">
        <v>4255</v>
      </c>
      <c r="L216" s="103"/>
      <c r="M216" s="59"/>
      <c r="U216" s="238"/>
      <c r="V216" s="59"/>
    </row>
    <row r="217" spans="1:22" ht="15" customHeight="1" x14ac:dyDescent="0.2">
      <c r="A217" s="95" t="s">
        <v>42</v>
      </c>
      <c r="B217" s="118" t="s">
        <v>70</v>
      </c>
      <c r="C217" s="97">
        <v>42</v>
      </c>
      <c r="D217" s="104">
        <v>634003</v>
      </c>
      <c r="E217" s="119" t="s">
        <v>73</v>
      </c>
      <c r="F217" s="100">
        <v>110.55</v>
      </c>
      <c r="G217" s="285">
        <v>0</v>
      </c>
      <c r="H217" s="283"/>
      <c r="I217" s="101">
        <f>400*1.15</f>
        <v>459.99999999999994</v>
      </c>
      <c r="J217" s="101">
        <f>400*1.15</f>
        <v>459.99999999999994</v>
      </c>
      <c r="K217" s="101"/>
      <c r="L217" s="103"/>
      <c r="M217" s="59"/>
      <c r="U217" s="238"/>
      <c r="V217" s="59"/>
    </row>
    <row r="218" spans="1:22" ht="15" customHeight="1" x14ac:dyDescent="0.2">
      <c r="A218" s="95" t="s">
        <v>42</v>
      </c>
      <c r="B218" s="118" t="s">
        <v>70</v>
      </c>
      <c r="C218" s="97">
        <v>41</v>
      </c>
      <c r="D218" s="104">
        <v>634003</v>
      </c>
      <c r="E218" s="119" t="s">
        <v>81</v>
      </c>
      <c r="F218" s="100">
        <v>0</v>
      </c>
      <c r="G218" s="285">
        <v>0</v>
      </c>
      <c r="H218" s="283">
        <v>0</v>
      </c>
      <c r="I218" s="258">
        <v>0</v>
      </c>
      <c r="J218" s="258">
        <v>0</v>
      </c>
      <c r="K218" s="101"/>
      <c r="L218" s="103"/>
      <c r="M218" s="59"/>
      <c r="U218" s="238"/>
      <c r="V218" s="59"/>
    </row>
    <row r="219" spans="1:22" ht="15" customHeight="1" x14ac:dyDescent="0.2">
      <c r="A219" s="95" t="s">
        <v>39</v>
      </c>
      <c r="B219" s="96">
        <v>43106</v>
      </c>
      <c r="C219" s="97">
        <v>41</v>
      </c>
      <c r="D219" s="104">
        <v>634003</v>
      </c>
      <c r="E219" s="119" t="s">
        <v>21</v>
      </c>
      <c r="F219" s="100">
        <v>0</v>
      </c>
      <c r="G219" s="285">
        <v>241.67</v>
      </c>
      <c r="H219" s="283">
        <v>0</v>
      </c>
      <c r="I219" s="258">
        <v>3450</v>
      </c>
      <c r="J219" s="258">
        <v>3450</v>
      </c>
      <c r="K219" s="101">
        <v>3450</v>
      </c>
      <c r="L219" s="103"/>
      <c r="M219" s="59"/>
      <c r="U219" s="238"/>
      <c r="V219" s="59"/>
    </row>
    <row r="220" spans="1:22" ht="15" customHeight="1" x14ac:dyDescent="0.2">
      <c r="A220" s="95" t="s">
        <v>41</v>
      </c>
      <c r="B220" s="96">
        <v>43166</v>
      </c>
      <c r="C220" s="97">
        <v>41</v>
      </c>
      <c r="D220" s="104">
        <v>634003</v>
      </c>
      <c r="E220" s="119" t="s">
        <v>21</v>
      </c>
      <c r="F220" s="100">
        <v>2900.25</v>
      </c>
      <c r="G220" s="285">
        <v>5118.79</v>
      </c>
      <c r="H220" s="283">
        <v>750.64</v>
      </c>
      <c r="I220" s="258">
        <f>800*1.15</f>
        <v>919.99999999999989</v>
      </c>
      <c r="J220" s="258">
        <v>920</v>
      </c>
      <c r="K220" s="101">
        <v>1390.12</v>
      </c>
      <c r="L220" s="103"/>
      <c r="M220" s="59"/>
      <c r="U220" s="238"/>
      <c r="V220" s="59"/>
    </row>
    <row r="221" spans="1:22" ht="15" customHeight="1" x14ac:dyDescent="0.2">
      <c r="A221" s="95" t="s">
        <v>41</v>
      </c>
      <c r="B221" s="96">
        <v>43897</v>
      </c>
      <c r="C221" s="97">
        <v>42</v>
      </c>
      <c r="D221" s="104">
        <v>634003</v>
      </c>
      <c r="E221" s="119" t="s">
        <v>21</v>
      </c>
      <c r="F221" s="100"/>
      <c r="G221" s="285"/>
      <c r="H221" s="283"/>
      <c r="I221" s="101"/>
      <c r="J221" s="101"/>
      <c r="K221" s="101"/>
      <c r="L221" s="103"/>
      <c r="M221" s="59"/>
      <c r="U221" s="238"/>
      <c r="V221" s="59"/>
    </row>
    <row r="222" spans="1:22" x14ac:dyDescent="0.2">
      <c r="A222" s="129"/>
      <c r="B222" s="96"/>
      <c r="C222" s="97"/>
      <c r="D222" s="104">
        <v>634006</v>
      </c>
      <c r="E222" s="119" t="s">
        <v>108</v>
      </c>
      <c r="F222" s="100">
        <f t="shared" ref="F222" si="95">SUM(F223:F229)</f>
        <v>1715.48</v>
      </c>
      <c r="G222" s="285">
        <f>SUM(G223:G229)</f>
        <v>4738.12</v>
      </c>
      <c r="H222" s="285">
        <f t="shared" ref="H222" si="96">SUM(H223:H228)</f>
        <v>1078.3899999999999</v>
      </c>
      <c r="I222" s="102">
        <f t="shared" ref="I222" si="97">SUM(I223:I229)</f>
        <v>3449.9999999999995</v>
      </c>
      <c r="J222" s="102">
        <f t="shared" ref="J222:K222" si="98">SUM(J223:J229)</f>
        <v>3450</v>
      </c>
      <c r="K222" s="102">
        <f t="shared" si="98"/>
        <v>8303.5499999999993</v>
      </c>
      <c r="L222" s="103"/>
      <c r="M222" s="59"/>
      <c r="U222" s="238"/>
      <c r="V222" s="59"/>
    </row>
    <row r="223" spans="1:22" ht="15" customHeight="1" x14ac:dyDescent="0.2">
      <c r="A223" s="129" t="s">
        <v>41</v>
      </c>
      <c r="B223" s="96">
        <v>43531</v>
      </c>
      <c r="C223" s="97">
        <v>41</v>
      </c>
      <c r="D223" s="104">
        <v>634006</v>
      </c>
      <c r="E223" s="119" t="s">
        <v>108</v>
      </c>
      <c r="F223" s="100">
        <v>352</v>
      </c>
      <c r="G223" s="285">
        <v>0</v>
      </c>
      <c r="H223" s="283"/>
      <c r="I223" s="257">
        <f>3000*1.15</f>
        <v>3449.9999999999995</v>
      </c>
      <c r="J223" s="257">
        <v>3450</v>
      </c>
      <c r="K223" s="102">
        <v>3450</v>
      </c>
      <c r="L223" s="103"/>
      <c r="M223" s="59"/>
      <c r="U223" s="238"/>
      <c r="V223" s="59"/>
    </row>
    <row r="224" spans="1:22" ht="15" customHeight="1" x14ac:dyDescent="0.2">
      <c r="A224" s="129" t="s">
        <v>41</v>
      </c>
      <c r="B224" s="96">
        <v>43531</v>
      </c>
      <c r="C224" s="97">
        <v>42</v>
      </c>
      <c r="D224" s="104">
        <v>634006</v>
      </c>
      <c r="E224" s="119" t="s">
        <v>108</v>
      </c>
      <c r="F224" s="100">
        <v>383.63</v>
      </c>
      <c r="G224" s="285">
        <v>419.77</v>
      </c>
      <c r="H224" s="283">
        <v>325.35000000000002</v>
      </c>
      <c r="I224" s="102"/>
      <c r="J224" s="102"/>
      <c r="K224" s="102"/>
      <c r="L224" s="103"/>
      <c r="M224" s="59"/>
      <c r="U224" s="238"/>
      <c r="V224" s="59"/>
    </row>
    <row r="225" spans="1:22" ht="15" customHeight="1" x14ac:dyDescent="0.2">
      <c r="A225" s="129" t="s">
        <v>39</v>
      </c>
      <c r="B225" s="96">
        <v>43471</v>
      </c>
      <c r="C225" s="97">
        <v>41</v>
      </c>
      <c r="D225" s="104">
        <v>634006</v>
      </c>
      <c r="E225" s="119" t="s">
        <v>108</v>
      </c>
      <c r="F225" s="100"/>
      <c r="G225" s="285"/>
      <c r="H225" s="283">
        <v>388.7</v>
      </c>
      <c r="I225" s="257"/>
      <c r="J225" s="257"/>
      <c r="K225" s="102">
        <v>1116.76</v>
      </c>
      <c r="L225" s="103"/>
      <c r="M225" s="59"/>
      <c r="U225" s="238"/>
      <c r="V225" s="59"/>
    </row>
    <row r="226" spans="1:22" ht="15" customHeight="1" x14ac:dyDescent="0.2">
      <c r="A226" s="129" t="s">
        <v>39</v>
      </c>
      <c r="B226" s="96">
        <v>43471</v>
      </c>
      <c r="C226" s="97">
        <v>42</v>
      </c>
      <c r="D226" s="104">
        <v>634006</v>
      </c>
      <c r="E226" s="119" t="s">
        <v>108</v>
      </c>
      <c r="F226" s="100"/>
      <c r="G226" s="285">
        <v>499.9</v>
      </c>
      <c r="H226" s="283">
        <v>364.34</v>
      </c>
      <c r="I226" s="102"/>
      <c r="J226" s="102"/>
      <c r="K226" s="102">
        <v>673.59</v>
      </c>
      <c r="L226" s="103"/>
      <c r="M226" s="59"/>
      <c r="U226" s="238"/>
      <c r="V226" s="59"/>
    </row>
    <row r="227" spans="1:22" ht="15" customHeight="1" x14ac:dyDescent="0.2">
      <c r="A227" s="129" t="s">
        <v>39</v>
      </c>
      <c r="B227" s="96">
        <v>43471</v>
      </c>
      <c r="C227" s="97">
        <v>46</v>
      </c>
      <c r="D227" s="104">
        <v>634006</v>
      </c>
      <c r="E227" s="119" t="s">
        <v>108</v>
      </c>
      <c r="F227" s="100"/>
      <c r="G227" s="285"/>
      <c r="H227" s="283"/>
      <c r="I227" s="102"/>
      <c r="J227" s="102"/>
      <c r="K227" s="102">
        <v>3063.2</v>
      </c>
      <c r="L227" s="103"/>
      <c r="M227" s="59"/>
      <c r="U227" s="238"/>
      <c r="V227" s="59"/>
    </row>
    <row r="228" spans="1:22" ht="15" customHeight="1" x14ac:dyDescent="0.2">
      <c r="A228" s="129" t="s">
        <v>40</v>
      </c>
      <c r="B228" s="96">
        <v>44450</v>
      </c>
      <c r="C228" s="97">
        <v>42</v>
      </c>
      <c r="D228" s="104">
        <v>634006</v>
      </c>
      <c r="E228" s="119" t="s">
        <v>108</v>
      </c>
      <c r="F228" s="100">
        <v>979.85</v>
      </c>
      <c r="G228" s="285">
        <v>3339.3</v>
      </c>
      <c r="H228" s="283"/>
      <c r="I228" s="102"/>
      <c r="J228" s="102"/>
      <c r="K228" s="102"/>
      <c r="L228" s="103"/>
      <c r="M228" s="59"/>
      <c r="U228" s="238"/>
      <c r="V228" s="59"/>
    </row>
    <row r="229" spans="1:22" ht="15" customHeight="1" x14ac:dyDescent="0.2">
      <c r="A229" s="129" t="s">
        <v>40</v>
      </c>
      <c r="B229" s="96">
        <v>43719</v>
      </c>
      <c r="C229" s="97">
        <v>41</v>
      </c>
      <c r="D229" s="104">
        <v>634006</v>
      </c>
      <c r="E229" s="119" t="s">
        <v>108</v>
      </c>
      <c r="F229" s="100">
        <v>0</v>
      </c>
      <c r="G229" s="285">
        <v>479.15</v>
      </c>
      <c r="H229" s="101"/>
      <c r="I229" s="257">
        <v>0</v>
      </c>
      <c r="J229" s="257">
        <v>0</v>
      </c>
      <c r="K229" s="102"/>
      <c r="L229" s="103"/>
      <c r="M229" s="59"/>
      <c r="U229" s="238"/>
      <c r="V229" s="59"/>
    </row>
    <row r="230" spans="1:22" x14ac:dyDescent="0.2">
      <c r="A230" s="88"/>
      <c r="B230" s="89"/>
      <c r="C230" s="90"/>
      <c r="D230" s="105">
        <v>635</v>
      </c>
      <c r="E230" s="106" t="s">
        <v>22</v>
      </c>
      <c r="F230" s="135">
        <f t="shared" ref="F230:H230" si="99">F231+F241+F250</f>
        <v>1934.71</v>
      </c>
      <c r="G230" s="135">
        <f>G231+G241+G250</f>
        <v>2903.2200000000003</v>
      </c>
      <c r="H230" s="136">
        <f t="shared" si="99"/>
        <v>235.8</v>
      </c>
      <c r="I230" s="226">
        <f>I231+I241+I250+I252+I256+I258</f>
        <v>4600</v>
      </c>
      <c r="J230" s="226">
        <f>J231+J241+J250+J252+J256+J258</f>
        <v>34600</v>
      </c>
      <c r="K230" s="226">
        <f t="shared" ref="K230" si="100">K231+K241+K250+K252+K256+K258</f>
        <v>6030.51</v>
      </c>
      <c r="L230" s="103"/>
      <c r="M230" s="59"/>
      <c r="U230" s="238"/>
      <c r="V230" s="59"/>
    </row>
    <row r="231" spans="1:22" x14ac:dyDescent="0.2">
      <c r="A231" s="62"/>
      <c r="B231" s="118"/>
      <c r="C231" s="97"/>
      <c r="D231" s="104">
        <v>635002</v>
      </c>
      <c r="E231" s="119" t="s">
        <v>23</v>
      </c>
      <c r="F231" s="100">
        <f t="shared" ref="F231" si="101">SUM(F232:F240)</f>
        <v>1934.71</v>
      </c>
      <c r="G231" s="285">
        <f t="shared" ref="G231" si="102">SUM(G232:G240)</f>
        <v>1343</v>
      </c>
      <c r="H231" s="285">
        <f t="shared" ref="H231" si="103">SUM(H232:H240)</f>
        <v>168</v>
      </c>
      <c r="I231" s="102">
        <f t="shared" ref="I231" si="104">SUM(I232:I240)</f>
        <v>690</v>
      </c>
      <c r="J231" s="102">
        <f t="shared" ref="J231:K231" si="105">SUM(J232:J240)</f>
        <v>690</v>
      </c>
      <c r="K231" s="102">
        <f t="shared" si="105"/>
        <v>163.65</v>
      </c>
      <c r="L231" s="94"/>
      <c r="M231" s="59"/>
      <c r="U231" s="238"/>
      <c r="V231" s="59"/>
    </row>
    <row r="232" spans="1:22" ht="15" customHeight="1" x14ac:dyDescent="0.2">
      <c r="A232" s="95" t="s">
        <v>39</v>
      </c>
      <c r="B232" s="96">
        <v>43106</v>
      </c>
      <c r="C232" s="97">
        <v>41</v>
      </c>
      <c r="D232" s="104">
        <v>635002</v>
      </c>
      <c r="E232" s="119" t="s">
        <v>23</v>
      </c>
      <c r="F232" s="100">
        <v>658.22</v>
      </c>
      <c r="G232" s="285">
        <v>821</v>
      </c>
      <c r="H232" s="283">
        <v>0</v>
      </c>
      <c r="I232" s="257">
        <v>0</v>
      </c>
      <c r="J232" s="257">
        <v>0</v>
      </c>
      <c r="K232" s="102"/>
      <c r="L232" s="103"/>
      <c r="M232" s="59"/>
      <c r="U232" s="238"/>
      <c r="V232" s="59"/>
    </row>
    <row r="233" spans="1:22" ht="15" customHeight="1" x14ac:dyDescent="0.2">
      <c r="A233" s="95" t="s">
        <v>39</v>
      </c>
      <c r="B233" s="96">
        <v>43836</v>
      </c>
      <c r="C233" s="97">
        <v>42</v>
      </c>
      <c r="D233" s="104">
        <v>635002</v>
      </c>
      <c r="E233" s="119" t="s">
        <v>23</v>
      </c>
      <c r="F233" s="100">
        <v>690</v>
      </c>
      <c r="G233" s="285"/>
      <c r="H233" s="283"/>
      <c r="I233" s="102"/>
      <c r="J233" s="102"/>
      <c r="K233" s="102"/>
      <c r="L233" s="103"/>
      <c r="M233" s="59"/>
      <c r="U233" s="238"/>
      <c r="V233" s="59"/>
    </row>
    <row r="234" spans="1:22" ht="15" customHeight="1" x14ac:dyDescent="0.2">
      <c r="A234" s="95" t="s">
        <v>40</v>
      </c>
      <c r="B234" s="96">
        <v>43354</v>
      </c>
      <c r="C234" s="97">
        <v>41</v>
      </c>
      <c r="D234" s="104">
        <v>635002</v>
      </c>
      <c r="E234" s="119" t="s">
        <v>23</v>
      </c>
      <c r="F234" s="100">
        <v>0</v>
      </c>
      <c r="G234" s="285">
        <v>522</v>
      </c>
      <c r="H234" s="283">
        <v>168</v>
      </c>
      <c r="I234" s="257">
        <f>500*1.15</f>
        <v>575</v>
      </c>
      <c r="J234" s="257">
        <f>500*1.15</f>
        <v>575</v>
      </c>
      <c r="K234" s="102">
        <v>163.65</v>
      </c>
      <c r="L234" s="103"/>
      <c r="M234" s="59"/>
      <c r="U234" s="238"/>
      <c r="V234" s="59"/>
    </row>
    <row r="235" spans="1:22" ht="15" customHeight="1" x14ac:dyDescent="0.2">
      <c r="A235" s="95" t="s">
        <v>40</v>
      </c>
      <c r="B235" s="96">
        <v>43719</v>
      </c>
      <c r="C235" s="97">
        <v>42</v>
      </c>
      <c r="D235" s="104">
        <v>635002</v>
      </c>
      <c r="E235" s="119" t="s">
        <v>23</v>
      </c>
      <c r="F235" s="100"/>
      <c r="G235" s="285"/>
      <c r="H235" s="283"/>
      <c r="I235" s="102"/>
      <c r="J235" s="102"/>
      <c r="K235" s="102"/>
      <c r="L235" s="103"/>
      <c r="M235" s="59"/>
      <c r="U235" s="238"/>
      <c r="V235" s="59"/>
    </row>
    <row r="236" spans="1:22" ht="15" customHeight="1" x14ac:dyDescent="0.2">
      <c r="A236" s="95" t="s">
        <v>41</v>
      </c>
      <c r="B236" s="96">
        <v>43166</v>
      </c>
      <c r="C236" s="97">
        <v>46</v>
      </c>
      <c r="D236" s="104">
        <v>635002</v>
      </c>
      <c r="E236" s="119" t="s">
        <v>23</v>
      </c>
      <c r="F236" s="100">
        <v>0</v>
      </c>
      <c r="G236" s="285">
        <v>0</v>
      </c>
      <c r="H236" s="283"/>
      <c r="I236" s="102"/>
      <c r="J236" s="102"/>
      <c r="K236" s="102"/>
      <c r="L236" s="103"/>
      <c r="M236" s="59"/>
      <c r="U236" s="238"/>
      <c r="V236" s="59"/>
    </row>
    <row r="237" spans="1:22" ht="15" customHeight="1" x14ac:dyDescent="0.2">
      <c r="A237" s="95" t="s">
        <v>41</v>
      </c>
      <c r="B237" s="96">
        <v>43166</v>
      </c>
      <c r="C237" s="97">
        <v>41</v>
      </c>
      <c r="D237" s="104">
        <v>635002</v>
      </c>
      <c r="E237" s="119" t="s">
        <v>23</v>
      </c>
      <c r="F237" s="100">
        <v>0</v>
      </c>
      <c r="G237" s="285">
        <v>0</v>
      </c>
      <c r="H237" s="283">
        <v>0</v>
      </c>
      <c r="I237" s="257"/>
      <c r="J237" s="257"/>
      <c r="K237" s="102"/>
      <c r="L237" s="103"/>
      <c r="M237" s="59"/>
      <c r="U237" s="238"/>
      <c r="V237" s="59"/>
    </row>
    <row r="238" spans="1:22" ht="15" customHeight="1" x14ac:dyDescent="0.2">
      <c r="A238" s="95" t="s">
        <v>42</v>
      </c>
      <c r="B238" s="118" t="s">
        <v>70</v>
      </c>
      <c r="C238" s="97">
        <v>41</v>
      </c>
      <c r="D238" s="104">
        <v>635002</v>
      </c>
      <c r="E238" s="119" t="s">
        <v>23</v>
      </c>
      <c r="F238" s="100">
        <v>0</v>
      </c>
      <c r="G238" s="285">
        <v>0</v>
      </c>
      <c r="H238" s="283">
        <v>0</v>
      </c>
      <c r="I238" s="257"/>
      <c r="J238" s="257"/>
      <c r="K238" s="102"/>
      <c r="L238" s="103"/>
      <c r="M238" s="59"/>
      <c r="U238" s="238"/>
      <c r="V238" s="59"/>
    </row>
    <row r="239" spans="1:22" ht="15" customHeight="1" x14ac:dyDescent="0.2">
      <c r="A239" s="95" t="s">
        <v>38</v>
      </c>
      <c r="B239" s="96">
        <v>43224</v>
      </c>
      <c r="C239" s="97">
        <v>41</v>
      </c>
      <c r="D239" s="104">
        <v>635002</v>
      </c>
      <c r="E239" s="119" t="s">
        <v>23</v>
      </c>
      <c r="F239" s="100">
        <v>586.49</v>
      </c>
      <c r="G239" s="285"/>
      <c r="H239" s="283"/>
      <c r="I239" s="257"/>
      <c r="J239" s="257"/>
      <c r="K239" s="102"/>
      <c r="L239" s="103"/>
      <c r="M239" s="59"/>
      <c r="U239" s="238"/>
      <c r="V239" s="59"/>
    </row>
    <row r="240" spans="1:22" ht="15" customHeight="1" x14ac:dyDescent="0.2">
      <c r="A240" s="95" t="s">
        <v>42</v>
      </c>
      <c r="B240" s="118" t="s">
        <v>70</v>
      </c>
      <c r="C240" s="97">
        <v>42</v>
      </c>
      <c r="D240" s="104">
        <v>635002</v>
      </c>
      <c r="E240" s="119" t="s">
        <v>23</v>
      </c>
      <c r="F240" s="100">
        <v>0</v>
      </c>
      <c r="G240" s="285">
        <v>0</v>
      </c>
      <c r="H240" s="283"/>
      <c r="I240" s="102">
        <f>100*1.15</f>
        <v>114.99999999999999</v>
      </c>
      <c r="J240" s="102">
        <f>100*1.15</f>
        <v>114.99999999999999</v>
      </c>
      <c r="K240" s="102"/>
      <c r="L240" s="103"/>
      <c r="M240" s="59"/>
      <c r="U240" s="238"/>
      <c r="V240" s="59"/>
    </row>
    <row r="241" spans="1:22" x14ac:dyDescent="0.2">
      <c r="A241" s="95"/>
      <c r="B241" s="118"/>
      <c r="C241" s="97"/>
      <c r="D241" s="104">
        <v>635004</v>
      </c>
      <c r="E241" s="119" t="s">
        <v>13</v>
      </c>
      <c r="F241" s="100">
        <f t="shared" ref="F241:H241" si="106">SUM(F242:F249)</f>
        <v>0</v>
      </c>
      <c r="G241" s="285">
        <f t="shared" si="106"/>
        <v>1560.22</v>
      </c>
      <c r="H241" s="283">
        <f t="shared" si="106"/>
        <v>0</v>
      </c>
      <c r="I241" s="102">
        <f>SUM(I242:I249)</f>
        <v>114.99999999999999</v>
      </c>
      <c r="J241" s="102">
        <f t="shared" ref="J241:K241" si="107">SUM(J242:J249)</f>
        <v>30115</v>
      </c>
      <c r="K241" s="102">
        <f t="shared" si="107"/>
        <v>736.86</v>
      </c>
      <c r="L241" s="103"/>
      <c r="M241" s="59"/>
      <c r="U241" s="238"/>
      <c r="V241" s="59"/>
    </row>
    <row r="242" spans="1:22" ht="15.75" customHeight="1" thickBot="1" x14ac:dyDescent="0.25">
      <c r="A242" s="95" t="s">
        <v>39</v>
      </c>
      <c r="B242" s="137" t="s">
        <v>71</v>
      </c>
      <c r="C242" s="97">
        <v>46</v>
      </c>
      <c r="D242" s="104">
        <v>635004</v>
      </c>
      <c r="E242" s="119" t="s">
        <v>13</v>
      </c>
      <c r="F242" s="100">
        <v>0</v>
      </c>
      <c r="G242" s="285">
        <v>0</v>
      </c>
      <c r="H242" s="283"/>
      <c r="I242" s="102">
        <f>100*1.15</f>
        <v>114.99999999999999</v>
      </c>
      <c r="J242" s="102">
        <f>100*1.15</f>
        <v>114.99999999999999</v>
      </c>
      <c r="K242" s="102">
        <v>736.86</v>
      </c>
      <c r="L242" s="103"/>
      <c r="M242" s="59"/>
      <c r="U242" s="238"/>
      <c r="V242" s="59"/>
    </row>
    <row r="243" spans="1:22" ht="15" customHeight="1" x14ac:dyDescent="0.2">
      <c r="A243" s="95" t="s">
        <v>41</v>
      </c>
      <c r="B243" s="96">
        <v>43166</v>
      </c>
      <c r="C243" s="97">
        <v>41</v>
      </c>
      <c r="D243" s="104">
        <v>635004</v>
      </c>
      <c r="E243" s="119" t="s">
        <v>13</v>
      </c>
      <c r="F243" s="100">
        <v>0</v>
      </c>
      <c r="G243" s="285">
        <v>0</v>
      </c>
      <c r="H243" s="283"/>
      <c r="I243" s="257">
        <v>0</v>
      </c>
      <c r="J243" s="257">
        <v>30000</v>
      </c>
      <c r="K243" s="102"/>
      <c r="L243" s="103"/>
      <c r="M243" s="59"/>
      <c r="U243" s="238"/>
      <c r="V243" s="59"/>
    </row>
    <row r="244" spans="1:22" ht="15" customHeight="1" x14ac:dyDescent="0.2">
      <c r="A244" s="95" t="s">
        <v>41</v>
      </c>
      <c r="B244" s="96">
        <v>43531</v>
      </c>
      <c r="C244" s="97">
        <v>42</v>
      </c>
      <c r="D244" s="104">
        <v>635004</v>
      </c>
      <c r="E244" s="119" t="s">
        <v>13</v>
      </c>
      <c r="F244" s="100"/>
      <c r="G244" s="285">
        <v>0</v>
      </c>
      <c r="H244" s="283"/>
      <c r="I244" s="102"/>
      <c r="J244" s="102"/>
      <c r="K244" s="102"/>
      <c r="L244" s="103"/>
      <c r="M244" s="59"/>
      <c r="U244" s="238"/>
      <c r="V244" s="59"/>
    </row>
    <row r="245" spans="1:22" ht="15" customHeight="1" x14ac:dyDescent="0.2">
      <c r="A245" s="95" t="s">
        <v>40</v>
      </c>
      <c r="B245" s="96">
        <v>43354</v>
      </c>
      <c r="C245" s="97">
        <v>41</v>
      </c>
      <c r="D245" s="104">
        <v>635004</v>
      </c>
      <c r="E245" s="119" t="s">
        <v>13</v>
      </c>
      <c r="F245" s="100">
        <v>0</v>
      </c>
      <c r="G245" s="285">
        <v>430.01</v>
      </c>
      <c r="H245" s="283"/>
      <c r="I245" s="257">
        <v>0</v>
      </c>
      <c r="J245" s="257">
        <v>0</v>
      </c>
      <c r="K245" s="102"/>
      <c r="L245" s="103"/>
      <c r="M245" s="59"/>
      <c r="U245" s="238"/>
      <c r="V245" s="59"/>
    </row>
    <row r="246" spans="1:22" ht="15" customHeight="1" x14ac:dyDescent="0.2">
      <c r="A246" s="95" t="s">
        <v>40</v>
      </c>
      <c r="B246" s="96">
        <v>43719</v>
      </c>
      <c r="C246" s="97">
        <v>46</v>
      </c>
      <c r="D246" s="104">
        <v>635004</v>
      </c>
      <c r="E246" s="119" t="s">
        <v>13</v>
      </c>
      <c r="F246" s="100"/>
      <c r="G246" s="285"/>
      <c r="H246" s="283"/>
      <c r="I246" s="102"/>
      <c r="J246" s="102"/>
      <c r="K246" s="102"/>
      <c r="L246" s="103"/>
      <c r="M246" s="59"/>
      <c r="U246" s="238"/>
      <c r="V246" s="59"/>
    </row>
    <row r="247" spans="1:22" ht="15" customHeight="1" x14ac:dyDescent="0.2">
      <c r="A247" s="95" t="s">
        <v>40</v>
      </c>
      <c r="B247" s="96">
        <v>43719</v>
      </c>
      <c r="C247" s="97">
        <v>42</v>
      </c>
      <c r="D247" s="104">
        <v>635004</v>
      </c>
      <c r="E247" s="119" t="s">
        <v>13</v>
      </c>
      <c r="F247" s="100"/>
      <c r="G247" s="285"/>
      <c r="H247" s="283"/>
      <c r="I247" s="102"/>
      <c r="J247" s="102"/>
      <c r="K247" s="102"/>
      <c r="L247" s="103"/>
      <c r="M247" s="59"/>
      <c r="U247" s="238"/>
      <c r="V247" s="59"/>
    </row>
    <row r="248" spans="1:22" ht="15" customHeight="1" x14ac:dyDescent="0.2">
      <c r="A248" s="95" t="s">
        <v>41</v>
      </c>
      <c r="B248" s="96">
        <v>43166</v>
      </c>
      <c r="C248" s="97">
        <v>42</v>
      </c>
      <c r="D248" s="104">
        <v>635004</v>
      </c>
      <c r="E248" s="119" t="s">
        <v>13</v>
      </c>
      <c r="F248" s="100">
        <v>0</v>
      </c>
      <c r="G248" s="285">
        <v>0</v>
      </c>
      <c r="H248" s="283"/>
      <c r="I248" s="102"/>
      <c r="J248" s="102"/>
      <c r="K248" s="102"/>
      <c r="L248" s="103"/>
      <c r="M248" s="59"/>
      <c r="U248" s="238"/>
      <c r="V248" s="59"/>
    </row>
    <row r="249" spans="1:22" ht="15" customHeight="1" x14ac:dyDescent="0.2">
      <c r="A249" s="129" t="s">
        <v>39</v>
      </c>
      <c r="B249" s="96">
        <v>43471</v>
      </c>
      <c r="C249" s="97">
        <v>41</v>
      </c>
      <c r="D249" s="104">
        <v>635004</v>
      </c>
      <c r="E249" s="119" t="s">
        <v>13</v>
      </c>
      <c r="F249" s="100">
        <v>0</v>
      </c>
      <c r="G249" s="285">
        <v>1130.21</v>
      </c>
      <c r="H249" s="283">
        <v>0</v>
      </c>
      <c r="I249" s="258">
        <v>0</v>
      </c>
      <c r="J249" s="258">
        <v>0</v>
      </c>
      <c r="K249" s="101"/>
      <c r="L249" s="103"/>
      <c r="M249" s="59"/>
      <c r="U249" s="238"/>
      <c r="V249" s="59"/>
    </row>
    <row r="250" spans="1:22" x14ac:dyDescent="0.2">
      <c r="A250" s="129"/>
      <c r="B250" s="96"/>
      <c r="C250" s="97"/>
      <c r="D250" s="104">
        <v>635005</v>
      </c>
      <c r="E250" s="119" t="s">
        <v>157</v>
      </c>
      <c r="F250" s="138">
        <f t="shared" ref="F250:H250" si="108">SUM(F251:F258)</f>
        <v>0</v>
      </c>
      <c r="G250" s="291">
        <f t="shared" si="108"/>
        <v>0</v>
      </c>
      <c r="H250" s="291">
        <f t="shared" si="108"/>
        <v>67.800000000000011</v>
      </c>
      <c r="I250" s="100">
        <v>0</v>
      </c>
      <c r="J250" s="100">
        <v>0</v>
      </c>
      <c r="K250" s="100">
        <v>0</v>
      </c>
      <c r="L250" s="103"/>
      <c r="M250" s="59"/>
      <c r="U250" s="238"/>
      <c r="V250" s="59"/>
    </row>
    <row r="251" spans="1:22" ht="15" customHeight="1" x14ac:dyDescent="0.2">
      <c r="A251" s="129" t="s">
        <v>39</v>
      </c>
      <c r="B251" s="96">
        <v>43471</v>
      </c>
      <c r="C251" s="97">
        <v>41</v>
      </c>
      <c r="D251" s="104">
        <v>635005</v>
      </c>
      <c r="E251" s="119" t="s">
        <v>158</v>
      </c>
      <c r="F251" s="100"/>
      <c r="G251" s="285"/>
      <c r="H251" s="283"/>
      <c r="I251" s="257"/>
      <c r="J251" s="257"/>
      <c r="K251" s="102"/>
      <c r="L251" s="103"/>
      <c r="M251" s="234"/>
      <c r="U251" s="238"/>
      <c r="V251" s="59"/>
    </row>
    <row r="252" spans="1:22" ht="15" customHeight="1" x14ac:dyDescent="0.2">
      <c r="A252" s="95" t="s">
        <v>41</v>
      </c>
      <c r="B252" s="96">
        <v>43166</v>
      </c>
      <c r="C252" s="97">
        <v>41</v>
      </c>
      <c r="D252" s="104">
        <v>635006</v>
      </c>
      <c r="E252" s="119" t="s">
        <v>59</v>
      </c>
      <c r="F252" s="100">
        <v>0</v>
      </c>
      <c r="G252" s="285">
        <v>0</v>
      </c>
      <c r="H252" s="283"/>
      <c r="I252" s="257">
        <f>800*1.15</f>
        <v>919.99999999999989</v>
      </c>
      <c r="J252" s="257">
        <f>800*1.15</f>
        <v>919.99999999999989</v>
      </c>
      <c r="K252" s="229">
        <v>920</v>
      </c>
      <c r="L252" s="103"/>
      <c r="M252" s="59"/>
      <c r="U252" s="238"/>
      <c r="V252" s="59"/>
    </row>
    <row r="253" spans="1:22" ht="15" customHeight="1" x14ac:dyDescent="0.2">
      <c r="A253" s="95" t="s">
        <v>41</v>
      </c>
      <c r="B253" s="96">
        <v>43166</v>
      </c>
      <c r="C253" s="97">
        <v>46</v>
      </c>
      <c r="D253" s="104">
        <v>635006</v>
      </c>
      <c r="E253" s="119" t="s">
        <v>59</v>
      </c>
      <c r="F253" s="100"/>
      <c r="G253" s="285"/>
      <c r="H253" s="283">
        <v>33.200000000000003</v>
      </c>
      <c r="I253" s="229">
        <v>0</v>
      </c>
      <c r="J253" s="229">
        <v>0</v>
      </c>
      <c r="K253" s="229"/>
      <c r="L253" s="103"/>
      <c r="M253" s="59"/>
      <c r="U253" s="238"/>
      <c r="V253" s="59"/>
    </row>
    <row r="254" spans="1:22" ht="15" customHeight="1" x14ac:dyDescent="0.2">
      <c r="A254" s="95" t="s">
        <v>42</v>
      </c>
      <c r="B254" s="118" t="s">
        <v>70</v>
      </c>
      <c r="C254" s="97">
        <v>41</v>
      </c>
      <c r="D254" s="104">
        <v>635006</v>
      </c>
      <c r="E254" s="119" t="s">
        <v>59</v>
      </c>
      <c r="F254" s="100">
        <v>0</v>
      </c>
      <c r="G254" s="285">
        <v>0</v>
      </c>
      <c r="H254" s="283">
        <v>0</v>
      </c>
      <c r="I254" s="257">
        <v>0</v>
      </c>
      <c r="J254" s="257">
        <v>0</v>
      </c>
      <c r="K254" s="229"/>
      <c r="L254" s="103"/>
      <c r="M254" s="59"/>
      <c r="U254" s="238"/>
      <c r="V254" s="59"/>
    </row>
    <row r="255" spans="1:22" ht="15" customHeight="1" x14ac:dyDescent="0.2">
      <c r="A255" s="139" t="s">
        <v>39</v>
      </c>
      <c r="B255" s="96">
        <v>43106</v>
      </c>
      <c r="C255" s="97">
        <v>41</v>
      </c>
      <c r="D255" s="104">
        <v>635006</v>
      </c>
      <c r="E255" s="119" t="s">
        <v>59</v>
      </c>
      <c r="F255" s="100"/>
      <c r="G255" s="285"/>
      <c r="H255" s="283"/>
      <c r="I255" s="257">
        <v>0</v>
      </c>
      <c r="J255" s="257">
        <v>0</v>
      </c>
      <c r="K255" s="229"/>
      <c r="L255" s="103"/>
      <c r="M255" s="59"/>
      <c r="U255" s="238"/>
      <c r="V255" s="59"/>
    </row>
    <row r="256" spans="1:22" ht="15" customHeight="1" x14ac:dyDescent="0.2">
      <c r="A256" s="131" t="s">
        <v>38</v>
      </c>
      <c r="B256" s="96">
        <v>43224</v>
      </c>
      <c r="C256" s="97">
        <v>41</v>
      </c>
      <c r="D256" s="104">
        <v>635006</v>
      </c>
      <c r="E256" s="119" t="s">
        <v>97</v>
      </c>
      <c r="F256" s="100">
        <v>0</v>
      </c>
      <c r="G256" s="285">
        <v>0</v>
      </c>
      <c r="H256" s="283">
        <v>0</v>
      </c>
      <c r="I256" s="257">
        <f>500*1.15</f>
        <v>575</v>
      </c>
      <c r="J256" s="257">
        <f>500*1.15</f>
        <v>575</v>
      </c>
      <c r="K256" s="229"/>
      <c r="L256" s="103"/>
      <c r="M256" s="59"/>
      <c r="U256" s="238"/>
      <c r="V256" s="59"/>
    </row>
    <row r="257" spans="1:22" ht="15" customHeight="1" x14ac:dyDescent="0.2">
      <c r="A257" s="140" t="s">
        <v>40</v>
      </c>
      <c r="B257" s="96">
        <v>43719</v>
      </c>
      <c r="C257" s="97">
        <v>46</v>
      </c>
      <c r="D257" s="104">
        <v>635006</v>
      </c>
      <c r="E257" s="119" t="s">
        <v>59</v>
      </c>
      <c r="F257" s="100"/>
      <c r="G257" s="285"/>
      <c r="H257" s="283"/>
      <c r="I257" s="229">
        <v>0</v>
      </c>
      <c r="J257" s="229">
        <v>0</v>
      </c>
      <c r="K257" s="229"/>
      <c r="L257" s="103"/>
      <c r="M257" s="59"/>
      <c r="U257" s="238"/>
      <c r="V257" s="59"/>
    </row>
    <row r="258" spans="1:22" ht="15" customHeight="1" x14ac:dyDescent="0.2">
      <c r="A258" s="140" t="s">
        <v>40</v>
      </c>
      <c r="B258" s="96">
        <v>43719</v>
      </c>
      <c r="C258" s="97">
        <v>41</v>
      </c>
      <c r="D258" s="104">
        <v>635006</v>
      </c>
      <c r="E258" s="119" t="s">
        <v>59</v>
      </c>
      <c r="F258" s="100">
        <v>0</v>
      </c>
      <c r="G258" s="285">
        <v>0</v>
      </c>
      <c r="H258" s="283">
        <v>34.6</v>
      </c>
      <c r="I258" s="257">
        <f>2000*1.15</f>
        <v>2300</v>
      </c>
      <c r="J258" s="257">
        <f>2000*1.15</f>
        <v>2300</v>
      </c>
      <c r="K258" s="228">
        <v>4210</v>
      </c>
      <c r="L258" s="103"/>
      <c r="M258" s="59"/>
      <c r="U258" s="238"/>
      <c r="V258" s="59"/>
    </row>
    <row r="259" spans="1:22" x14ac:dyDescent="0.2">
      <c r="A259" s="88"/>
      <c r="B259" s="89"/>
      <c r="C259" s="90"/>
      <c r="D259" s="105">
        <v>636</v>
      </c>
      <c r="E259" s="106" t="s">
        <v>24</v>
      </c>
      <c r="F259" s="135">
        <f t="shared" ref="F259:H259" si="109">SUM(F260:F273)</f>
        <v>1373.9399999999998</v>
      </c>
      <c r="G259" s="135">
        <f>G260+G261+G262+G263+G264+G265+G266+G267+G268+G269+G272</f>
        <v>5369.43</v>
      </c>
      <c r="H259" s="135">
        <f t="shared" si="109"/>
        <v>661.49</v>
      </c>
      <c r="I259" s="226">
        <f t="shared" ref="I259" si="110">SUM(I260:I273)</f>
        <v>1495</v>
      </c>
      <c r="J259" s="226">
        <f t="shared" ref="J259" si="111">SUM(J260:J273)</f>
        <v>1495</v>
      </c>
      <c r="K259" s="226">
        <f t="shared" ref="K259" si="112">SUM(K260:K273)</f>
        <v>1578.66</v>
      </c>
      <c r="L259" s="103"/>
      <c r="M259" s="59"/>
      <c r="U259" s="238"/>
      <c r="V259" s="59"/>
    </row>
    <row r="260" spans="1:22" ht="15" customHeight="1" x14ac:dyDescent="0.2">
      <c r="A260" s="95" t="s">
        <v>40</v>
      </c>
      <c r="B260" s="96">
        <v>43354</v>
      </c>
      <c r="C260" s="97">
        <v>41</v>
      </c>
      <c r="D260" s="104">
        <v>636002</v>
      </c>
      <c r="E260" s="119" t="s">
        <v>25</v>
      </c>
      <c r="F260" s="100">
        <v>524.30999999999995</v>
      </c>
      <c r="G260" s="285">
        <f>684.63+3500</f>
        <v>4184.63</v>
      </c>
      <c r="H260" s="283"/>
      <c r="I260" s="257">
        <f>300*1.15</f>
        <v>345</v>
      </c>
      <c r="J260" s="257">
        <f>300*1.15</f>
        <v>345</v>
      </c>
      <c r="K260" s="102">
        <v>345</v>
      </c>
      <c r="L260" s="94"/>
      <c r="M260" s="59"/>
      <c r="U260" s="238"/>
      <c r="V260" s="59"/>
    </row>
    <row r="261" spans="1:22" ht="15" customHeight="1" x14ac:dyDescent="0.2">
      <c r="A261" s="95" t="s">
        <v>40</v>
      </c>
      <c r="B261" s="96">
        <v>43719</v>
      </c>
      <c r="C261" s="97">
        <v>42</v>
      </c>
      <c r="D261" s="104">
        <v>636002</v>
      </c>
      <c r="E261" s="119" t="s">
        <v>24</v>
      </c>
      <c r="F261" s="100">
        <v>158.16</v>
      </c>
      <c r="G261" s="285">
        <v>46.99</v>
      </c>
      <c r="H261" s="283"/>
      <c r="I261" s="102"/>
      <c r="J261" s="102"/>
      <c r="K261" s="102"/>
      <c r="L261" s="103"/>
      <c r="M261" s="59"/>
      <c r="U261" s="238"/>
      <c r="V261" s="59"/>
    </row>
    <row r="262" spans="1:22" ht="15" customHeight="1" x14ac:dyDescent="0.2">
      <c r="A262" s="95" t="s">
        <v>38</v>
      </c>
      <c r="B262" s="96">
        <v>43955</v>
      </c>
      <c r="C262" s="97">
        <v>41</v>
      </c>
      <c r="D262" s="104">
        <v>636002</v>
      </c>
      <c r="E262" s="119" t="s">
        <v>24</v>
      </c>
      <c r="F262" s="100">
        <v>50.68</v>
      </c>
      <c r="G262" s="285">
        <v>0</v>
      </c>
      <c r="H262" s="283" t="s">
        <v>189</v>
      </c>
      <c r="I262" s="257"/>
      <c r="J262" s="257"/>
      <c r="K262" s="102"/>
      <c r="L262" s="103"/>
      <c r="M262" s="59"/>
      <c r="U262" s="238"/>
      <c r="V262" s="59"/>
    </row>
    <row r="263" spans="1:22" ht="15" customHeight="1" x14ac:dyDescent="0.2">
      <c r="A263" s="95" t="s">
        <v>38</v>
      </c>
      <c r="B263" s="96">
        <v>43956</v>
      </c>
      <c r="C263" s="97">
        <v>46</v>
      </c>
      <c r="D263" s="104">
        <v>636002</v>
      </c>
      <c r="E263" s="119" t="s">
        <v>24</v>
      </c>
      <c r="F263" s="100"/>
      <c r="G263" s="285">
        <v>288</v>
      </c>
      <c r="H263" s="283"/>
      <c r="I263" s="102"/>
      <c r="J263" s="102"/>
      <c r="K263" s="102"/>
      <c r="L263" s="103"/>
      <c r="M263" s="59"/>
      <c r="U263" s="238"/>
      <c r="V263" s="59"/>
    </row>
    <row r="264" spans="1:22" ht="15" customHeight="1" x14ac:dyDescent="0.2">
      <c r="A264" s="141" t="s">
        <v>39</v>
      </c>
      <c r="B264" s="96">
        <v>43106</v>
      </c>
      <c r="C264" s="97">
        <v>41</v>
      </c>
      <c r="D264" s="104">
        <v>636002</v>
      </c>
      <c r="E264" s="119" t="s">
        <v>25</v>
      </c>
      <c r="F264" s="100">
        <v>287.45999999999998</v>
      </c>
      <c r="G264" s="285">
        <v>439.58</v>
      </c>
      <c r="H264" s="283">
        <v>546.88</v>
      </c>
      <c r="I264" s="257">
        <v>1150</v>
      </c>
      <c r="J264" s="257">
        <v>1150</v>
      </c>
      <c r="K264" s="102">
        <v>1197.68</v>
      </c>
      <c r="L264" s="103"/>
      <c r="M264" s="59"/>
      <c r="U264" s="238"/>
      <c r="V264" s="59"/>
    </row>
    <row r="265" spans="1:22" ht="15" customHeight="1" x14ac:dyDescent="0.2">
      <c r="A265" s="141" t="s">
        <v>39</v>
      </c>
      <c r="B265" s="96">
        <v>43106</v>
      </c>
      <c r="C265" s="97">
        <v>46</v>
      </c>
      <c r="D265" s="104">
        <v>636002</v>
      </c>
      <c r="E265" s="119" t="s">
        <v>25</v>
      </c>
      <c r="F265" s="100"/>
      <c r="G265" s="285"/>
      <c r="H265" s="283">
        <v>114.61</v>
      </c>
      <c r="I265" s="257"/>
      <c r="J265" s="257"/>
      <c r="K265" s="102">
        <v>35.979999999999997</v>
      </c>
      <c r="L265" s="103"/>
      <c r="M265" s="59"/>
      <c r="U265" s="238"/>
      <c r="V265" s="59"/>
    </row>
    <row r="266" spans="1:22" ht="15" customHeight="1" x14ac:dyDescent="0.2">
      <c r="A266" s="141" t="s">
        <v>39</v>
      </c>
      <c r="B266" s="96">
        <v>43471</v>
      </c>
      <c r="C266" s="97">
        <v>42</v>
      </c>
      <c r="D266" s="104">
        <v>636002</v>
      </c>
      <c r="E266" s="119" t="s">
        <v>25</v>
      </c>
      <c r="F266" s="100">
        <v>353.33</v>
      </c>
      <c r="G266" s="285">
        <v>294.23</v>
      </c>
      <c r="H266" s="283"/>
      <c r="I266" s="102"/>
      <c r="J266" s="102"/>
      <c r="K266" s="102"/>
      <c r="L266" s="103"/>
      <c r="M266" s="59"/>
      <c r="U266" s="238"/>
      <c r="V266" s="59"/>
    </row>
    <row r="267" spans="1:22" ht="15" customHeight="1" x14ac:dyDescent="0.2">
      <c r="A267" s="141" t="s">
        <v>41</v>
      </c>
      <c r="B267" s="96">
        <v>43166</v>
      </c>
      <c r="C267" s="97">
        <v>41</v>
      </c>
      <c r="D267" s="104">
        <v>636002</v>
      </c>
      <c r="E267" s="119" t="s">
        <v>25</v>
      </c>
      <c r="F267" s="100">
        <v>0</v>
      </c>
      <c r="G267" s="285"/>
      <c r="H267" s="283"/>
      <c r="I267" s="257">
        <v>0</v>
      </c>
      <c r="J267" s="257">
        <v>0</v>
      </c>
      <c r="K267" s="229"/>
      <c r="L267" s="103"/>
      <c r="M267" s="59"/>
      <c r="U267" s="238"/>
      <c r="V267" s="59"/>
    </row>
    <row r="268" spans="1:22" ht="15" customHeight="1" x14ac:dyDescent="0.2">
      <c r="A268" s="142" t="s">
        <v>42</v>
      </c>
      <c r="B268" s="96" t="s">
        <v>70</v>
      </c>
      <c r="C268" s="97">
        <v>41</v>
      </c>
      <c r="D268" s="104">
        <v>636002</v>
      </c>
      <c r="E268" s="119" t="s">
        <v>24</v>
      </c>
      <c r="F268" s="100"/>
      <c r="G268" s="285"/>
      <c r="H268" s="283"/>
      <c r="I268" s="257"/>
      <c r="J268" s="257"/>
      <c r="K268" s="102"/>
      <c r="L268" s="103"/>
      <c r="M268" s="59"/>
      <c r="U268" s="238"/>
      <c r="V268" s="59"/>
    </row>
    <row r="269" spans="1:22" x14ac:dyDescent="0.2">
      <c r="A269" s="142"/>
      <c r="B269" s="143"/>
      <c r="C269" s="144"/>
      <c r="D269" s="104"/>
      <c r="E269" s="119" t="s">
        <v>159</v>
      </c>
      <c r="F269" s="100"/>
      <c r="G269" s="285">
        <v>116</v>
      </c>
      <c r="H269" s="283"/>
      <c r="I269" s="102"/>
      <c r="J269" s="102"/>
      <c r="K269" s="102"/>
      <c r="L269" s="103"/>
      <c r="M269" s="59"/>
      <c r="U269" s="238"/>
      <c r="V269" s="59"/>
    </row>
    <row r="270" spans="1:22" ht="15" customHeight="1" x14ac:dyDescent="0.2">
      <c r="A270" s="142" t="s">
        <v>39</v>
      </c>
      <c r="B270" s="143">
        <v>43471</v>
      </c>
      <c r="C270" s="144">
        <v>41</v>
      </c>
      <c r="D270" s="104">
        <v>636004</v>
      </c>
      <c r="E270" s="119" t="s">
        <v>159</v>
      </c>
      <c r="F270" s="100"/>
      <c r="G270" s="285">
        <v>116</v>
      </c>
      <c r="H270" s="283"/>
      <c r="I270" s="257"/>
      <c r="J270" s="257"/>
      <c r="K270" s="102"/>
      <c r="L270" s="103"/>
      <c r="M270" s="59"/>
      <c r="U270" s="238"/>
      <c r="V270" s="59"/>
    </row>
    <row r="271" spans="1:22" ht="15" customHeight="1" x14ac:dyDescent="0.2">
      <c r="A271" s="142" t="s">
        <v>39</v>
      </c>
      <c r="B271" s="143">
        <v>43471</v>
      </c>
      <c r="C271" s="144">
        <v>46</v>
      </c>
      <c r="D271" s="104">
        <v>636004</v>
      </c>
      <c r="E271" s="119" t="s">
        <v>159</v>
      </c>
      <c r="F271" s="100"/>
      <c r="G271" s="100"/>
      <c r="H271" s="101"/>
      <c r="I271" s="102"/>
      <c r="J271" s="102"/>
      <c r="K271" s="102"/>
      <c r="L271" s="103"/>
      <c r="M271" s="59"/>
      <c r="U271" s="238"/>
      <c r="V271" s="59"/>
    </row>
    <row r="272" spans="1:22" x14ac:dyDescent="0.2">
      <c r="A272" s="142"/>
      <c r="B272" s="143"/>
      <c r="C272" s="144"/>
      <c r="D272" s="104"/>
      <c r="E272" s="119" t="s">
        <v>155</v>
      </c>
      <c r="F272" s="100"/>
      <c r="G272" s="100"/>
      <c r="H272" s="101"/>
      <c r="I272" s="102"/>
      <c r="J272" s="102"/>
      <c r="K272" s="102"/>
      <c r="L272" s="103"/>
      <c r="M272" s="59"/>
      <c r="U272" s="238"/>
      <c r="V272" s="59"/>
    </row>
    <row r="273" spans="1:22" ht="15" customHeight="1" x14ac:dyDescent="0.2">
      <c r="A273" s="142" t="s">
        <v>41</v>
      </c>
      <c r="B273" s="143">
        <v>43531</v>
      </c>
      <c r="C273" s="144">
        <v>41</v>
      </c>
      <c r="D273" s="104">
        <v>636003</v>
      </c>
      <c r="E273" s="119" t="s">
        <v>155</v>
      </c>
      <c r="F273" s="100"/>
      <c r="G273" s="100"/>
      <c r="H273" s="101"/>
      <c r="I273" s="257"/>
      <c r="J273" s="257"/>
      <c r="K273" s="102"/>
      <c r="L273" s="103"/>
      <c r="M273" s="59"/>
      <c r="U273" s="238"/>
      <c r="V273" s="59"/>
    </row>
    <row r="274" spans="1:22" x14ac:dyDescent="0.2">
      <c r="A274" s="88"/>
      <c r="B274" s="89"/>
      <c r="C274" s="90"/>
      <c r="D274" s="105">
        <v>637</v>
      </c>
      <c r="E274" s="106" t="s">
        <v>79</v>
      </c>
      <c r="F274" s="107">
        <f t="shared" ref="F274" si="113">F275+F287+F303+F323+F326+F338+F347+F353+F364+F378+F381+F319+F285+F373+F317</f>
        <v>183434.57000000004</v>
      </c>
      <c r="G274" s="107">
        <f>G275+G287+G303+G323+G326+G338+G347+G353+G364+G378+G381+G319+G285+G373+G317</f>
        <v>212094.34</v>
      </c>
      <c r="H274" s="107">
        <f>H275+H287+H303+H323+H326+H338+H347+H353+H364+H378+H381+H319+H285+H373+H317</f>
        <v>179579.55</v>
      </c>
      <c r="I274" s="231">
        <f t="shared" ref="I274" si="114">I275+I285+I287+I317+I319+I323+I326+I338+I347+I353+I373+I378+I381+I364+I303</f>
        <v>182257.55349999998</v>
      </c>
      <c r="J274" s="231">
        <f t="shared" ref="J274" si="115">J275+J285+J287+J317+J319+J323+J326+J338+J347+J353+J373+J378+J381+J364+J303</f>
        <v>182257.5435</v>
      </c>
      <c r="K274" s="231">
        <f>K275+K285+K287+K317+K319+K323+K326+K338+K347+K353+K373+K378+K381+K364+K303</f>
        <v>214721.82999999996</v>
      </c>
      <c r="L274" s="103"/>
      <c r="M274" s="59"/>
      <c r="U274" s="238"/>
      <c r="V274" s="59"/>
    </row>
    <row r="275" spans="1:22" x14ac:dyDescent="0.2">
      <c r="A275" s="62"/>
      <c r="B275" s="118"/>
      <c r="C275" s="111"/>
      <c r="D275" s="104">
        <v>637001</v>
      </c>
      <c r="E275" s="119" t="s">
        <v>26</v>
      </c>
      <c r="F275" s="112">
        <f t="shared" ref="F275:G275" si="116">SUM(F276:F284)</f>
        <v>1997.16</v>
      </c>
      <c r="G275" s="112">
        <f t="shared" si="116"/>
        <v>1675.16</v>
      </c>
      <c r="H275" s="289">
        <f t="shared" ref="H275" si="117">SUM(H276:H283)</f>
        <v>1845.7</v>
      </c>
      <c r="I275" s="260">
        <f>SUM(I276:I284)</f>
        <v>1840</v>
      </c>
      <c r="J275" s="260">
        <f>SUM(J276:J284)</f>
        <v>1840</v>
      </c>
      <c r="K275" s="260">
        <f>SUM(K276:K284)</f>
        <v>4890.8</v>
      </c>
      <c r="L275" s="94"/>
      <c r="M275" s="59"/>
      <c r="U275" s="238"/>
      <c r="V275" s="59"/>
    </row>
    <row r="276" spans="1:22" ht="15" customHeight="1" x14ac:dyDescent="0.2">
      <c r="A276" s="95" t="s">
        <v>38</v>
      </c>
      <c r="B276" s="96">
        <v>43224</v>
      </c>
      <c r="C276" s="111">
        <v>46</v>
      </c>
      <c r="D276" s="104">
        <v>637001</v>
      </c>
      <c r="E276" s="119" t="s">
        <v>26</v>
      </c>
      <c r="F276" s="120"/>
      <c r="G276" s="288"/>
      <c r="H276" s="287"/>
      <c r="I276" s="121"/>
      <c r="J276" s="121"/>
      <c r="K276" s="121"/>
      <c r="L276" s="103"/>
      <c r="M276" s="59"/>
      <c r="U276" s="238"/>
      <c r="V276" s="59"/>
    </row>
    <row r="277" spans="1:22" ht="14.25" customHeight="1" x14ac:dyDescent="0.2">
      <c r="A277" s="95" t="s">
        <v>39</v>
      </c>
      <c r="B277" s="96">
        <v>43106</v>
      </c>
      <c r="C277" s="97">
        <v>41</v>
      </c>
      <c r="D277" s="104">
        <v>637001</v>
      </c>
      <c r="E277" s="119" t="s">
        <v>26</v>
      </c>
      <c r="F277" s="100">
        <v>995.2</v>
      </c>
      <c r="G277" s="285">
        <v>1360.16</v>
      </c>
      <c r="H277" s="283">
        <v>1499.7</v>
      </c>
      <c r="I277" s="258">
        <v>1150</v>
      </c>
      <c r="J277" s="258">
        <v>1150</v>
      </c>
      <c r="K277" s="101">
        <v>2254.6</v>
      </c>
      <c r="L277" s="103"/>
      <c r="M277" s="59"/>
      <c r="U277" s="238"/>
      <c r="V277" s="59"/>
    </row>
    <row r="278" spans="1:22" ht="14.25" customHeight="1" x14ac:dyDescent="0.2">
      <c r="A278" s="95" t="s">
        <v>39</v>
      </c>
      <c r="B278" s="96">
        <v>43106</v>
      </c>
      <c r="C278" s="97">
        <v>46</v>
      </c>
      <c r="D278" s="104">
        <v>637001</v>
      </c>
      <c r="E278" s="119" t="s">
        <v>26</v>
      </c>
      <c r="F278" s="100"/>
      <c r="G278" s="285">
        <v>165</v>
      </c>
      <c r="H278" s="283"/>
      <c r="I278" s="258"/>
      <c r="J278" s="258"/>
      <c r="K278" s="101">
        <v>1946.2</v>
      </c>
      <c r="L278" s="103"/>
      <c r="M278" s="59"/>
      <c r="U278" s="238"/>
      <c r="V278" s="59"/>
    </row>
    <row r="279" spans="1:22" ht="15" customHeight="1" x14ac:dyDescent="0.2">
      <c r="A279" s="95" t="s">
        <v>39</v>
      </c>
      <c r="B279" s="96">
        <v>44202</v>
      </c>
      <c r="C279" s="97">
        <v>42</v>
      </c>
      <c r="D279" s="104">
        <v>637001</v>
      </c>
      <c r="E279" s="119" t="s">
        <v>26</v>
      </c>
      <c r="F279" s="100"/>
      <c r="G279" s="285">
        <v>0</v>
      </c>
      <c r="H279" s="283">
        <v>0</v>
      </c>
      <c r="I279" s="101"/>
      <c r="J279" s="101"/>
      <c r="K279" s="101"/>
      <c r="L279" s="103"/>
      <c r="M279" s="59"/>
      <c r="U279" s="238"/>
      <c r="V279" s="59"/>
    </row>
    <row r="280" spans="1:22" ht="15" customHeight="1" x14ac:dyDescent="0.2">
      <c r="A280" s="95" t="s">
        <v>41</v>
      </c>
      <c r="B280" s="96">
        <v>43166</v>
      </c>
      <c r="C280" s="97">
        <v>41</v>
      </c>
      <c r="D280" s="104">
        <v>637001</v>
      </c>
      <c r="E280" s="119" t="s">
        <v>26</v>
      </c>
      <c r="F280" s="100">
        <v>0</v>
      </c>
      <c r="G280" s="285">
        <v>150</v>
      </c>
      <c r="H280" s="283">
        <v>346</v>
      </c>
      <c r="I280" s="258">
        <v>0</v>
      </c>
      <c r="J280" s="258">
        <v>0</v>
      </c>
      <c r="K280" s="101"/>
      <c r="L280" s="103"/>
      <c r="M280" s="59"/>
      <c r="U280" s="238"/>
      <c r="V280" s="59"/>
    </row>
    <row r="281" spans="1:22" ht="15" customHeight="1" x14ac:dyDescent="0.2">
      <c r="A281" s="95" t="s">
        <v>40</v>
      </c>
      <c r="B281" s="96">
        <v>43354</v>
      </c>
      <c r="C281" s="97">
        <v>41</v>
      </c>
      <c r="D281" s="104">
        <v>637001</v>
      </c>
      <c r="E281" s="119" t="s">
        <v>26</v>
      </c>
      <c r="F281" s="100">
        <v>621.96</v>
      </c>
      <c r="G281" s="285">
        <v>0</v>
      </c>
      <c r="H281" s="283">
        <v>0</v>
      </c>
      <c r="I281" s="258">
        <f>600*1.15</f>
        <v>690</v>
      </c>
      <c r="J281" s="258">
        <f>600*1.15</f>
        <v>690</v>
      </c>
      <c r="K281" s="101">
        <v>690</v>
      </c>
      <c r="L281" s="103"/>
      <c r="M281" s="59"/>
      <c r="U281" s="238"/>
      <c r="V281" s="59"/>
    </row>
    <row r="282" spans="1:22" ht="15" customHeight="1" x14ac:dyDescent="0.2">
      <c r="A282" s="95" t="s">
        <v>42</v>
      </c>
      <c r="B282" s="118" t="s">
        <v>70</v>
      </c>
      <c r="C282" s="97">
        <v>41</v>
      </c>
      <c r="D282" s="104">
        <v>637001</v>
      </c>
      <c r="E282" s="119" t="s">
        <v>26</v>
      </c>
      <c r="F282" s="100">
        <v>0</v>
      </c>
      <c r="G282" s="285"/>
      <c r="H282" s="283"/>
      <c r="I282" s="258">
        <v>0</v>
      </c>
      <c r="J282" s="258">
        <v>0</v>
      </c>
      <c r="K282" s="101"/>
      <c r="L282" s="103"/>
      <c r="M282" s="59"/>
      <c r="U282" s="238"/>
      <c r="V282" s="59"/>
    </row>
    <row r="283" spans="1:22" ht="15" customHeight="1" x14ac:dyDescent="0.2">
      <c r="A283" s="95" t="s">
        <v>42</v>
      </c>
      <c r="B283" s="118" t="s">
        <v>70</v>
      </c>
      <c r="C283" s="97">
        <v>42</v>
      </c>
      <c r="D283" s="104">
        <v>637001</v>
      </c>
      <c r="E283" s="119" t="s">
        <v>26</v>
      </c>
      <c r="F283" s="100">
        <v>380</v>
      </c>
      <c r="G283" s="285">
        <v>0</v>
      </c>
      <c r="H283" s="283"/>
      <c r="I283" s="101"/>
      <c r="J283" s="101"/>
      <c r="K283" s="101"/>
      <c r="L283" s="103"/>
      <c r="M283" s="59"/>
      <c r="U283" s="238"/>
      <c r="V283" s="59"/>
    </row>
    <row r="284" spans="1:22" ht="15" customHeight="1" x14ac:dyDescent="0.2">
      <c r="A284" s="95" t="s">
        <v>41</v>
      </c>
      <c r="B284" s="96">
        <v>43166</v>
      </c>
      <c r="C284" s="97">
        <v>46</v>
      </c>
      <c r="D284" s="104">
        <v>637001</v>
      </c>
      <c r="E284" s="119" t="s">
        <v>26</v>
      </c>
      <c r="F284" s="100">
        <v>0</v>
      </c>
      <c r="G284" s="285">
        <f t="shared" ref="G284" si="118">G285</f>
        <v>0</v>
      </c>
      <c r="H284" s="285"/>
      <c r="I284" s="101">
        <v>0</v>
      </c>
      <c r="J284" s="101">
        <v>0</v>
      </c>
      <c r="K284" s="101"/>
      <c r="L284" s="103"/>
      <c r="M284" s="59"/>
      <c r="U284" s="238"/>
      <c r="V284" s="59"/>
    </row>
    <row r="285" spans="1:22" x14ac:dyDescent="0.2">
      <c r="A285" s="95"/>
      <c r="B285" s="96"/>
      <c r="C285" s="97"/>
      <c r="D285" s="104">
        <v>637003</v>
      </c>
      <c r="E285" s="119" t="s">
        <v>160</v>
      </c>
      <c r="F285" s="100">
        <f t="shared" ref="F285" si="119">F286</f>
        <v>0</v>
      </c>
      <c r="G285" s="285">
        <v>0</v>
      </c>
      <c r="H285" s="283">
        <v>0</v>
      </c>
      <c r="I285" s="102">
        <f>SUM(I286)</f>
        <v>114.99999999999999</v>
      </c>
      <c r="J285" s="102">
        <f>SUM(J286)</f>
        <v>114.99999999999999</v>
      </c>
      <c r="K285" s="102">
        <f>SUM(K286)</f>
        <v>0</v>
      </c>
      <c r="L285" s="103"/>
      <c r="M285" s="59"/>
      <c r="U285" s="238"/>
      <c r="V285" s="59"/>
    </row>
    <row r="286" spans="1:22" ht="15" customHeight="1" x14ac:dyDescent="0.2">
      <c r="A286" s="95" t="s">
        <v>40</v>
      </c>
      <c r="B286" s="96">
        <v>43719</v>
      </c>
      <c r="C286" s="97">
        <v>42</v>
      </c>
      <c r="D286" s="104">
        <v>637003</v>
      </c>
      <c r="E286" s="119" t="s">
        <v>160</v>
      </c>
      <c r="F286" s="100">
        <v>0</v>
      </c>
      <c r="G286" s="288">
        <v>0</v>
      </c>
      <c r="H286" s="288">
        <v>0</v>
      </c>
      <c r="I286" s="102">
        <f>100*1.15</f>
        <v>114.99999999999999</v>
      </c>
      <c r="J286" s="102">
        <f>100*1.15</f>
        <v>114.99999999999999</v>
      </c>
      <c r="K286" s="102"/>
      <c r="L286" s="103"/>
      <c r="M286" s="59"/>
      <c r="U286" s="238"/>
      <c r="V286" s="59"/>
    </row>
    <row r="287" spans="1:22" x14ac:dyDescent="0.2">
      <c r="A287" s="95"/>
      <c r="B287" s="118"/>
      <c r="C287" s="97"/>
      <c r="D287" s="104">
        <v>637004</v>
      </c>
      <c r="E287" s="119" t="s">
        <v>27</v>
      </c>
      <c r="F287" s="120">
        <f t="shared" ref="F287" si="120">SUM(F288:F302)</f>
        <v>80389.98</v>
      </c>
      <c r="G287" s="288">
        <f>SUM(G288:G302)</f>
        <v>103550.53</v>
      </c>
      <c r="H287" s="288">
        <f>SUM(H288:H302)</f>
        <v>88129.49</v>
      </c>
      <c r="I287" s="228">
        <f t="shared" ref="I287" si="121">SUM(I288:I302)</f>
        <v>95036.475000000006</v>
      </c>
      <c r="J287" s="228">
        <f t="shared" ref="J287:K287" si="122">SUM(J288:J302)</f>
        <v>95036.475000000006</v>
      </c>
      <c r="K287" s="228">
        <f t="shared" si="122"/>
        <v>93549.909999999989</v>
      </c>
      <c r="L287" s="103"/>
      <c r="M287" s="59"/>
      <c r="U287" s="238"/>
      <c r="V287" s="59"/>
    </row>
    <row r="288" spans="1:22" ht="15" customHeight="1" x14ac:dyDescent="0.2">
      <c r="A288" s="95" t="s">
        <v>38</v>
      </c>
      <c r="B288" s="96">
        <v>43224</v>
      </c>
      <c r="C288" s="97">
        <v>41</v>
      </c>
      <c r="D288" s="104">
        <v>637004</v>
      </c>
      <c r="E288" s="119" t="s">
        <v>27</v>
      </c>
      <c r="F288" s="100">
        <v>1023.2</v>
      </c>
      <c r="G288" s="285">
        <v>896.99</v>
      </c>
      <c r="H288" s="283">
        <v>370.64</v>
      </c>
      <c r="I288" s="258">
        <f>372.5*1.15</f>
        <v>428.37499999999994</v>
      </c>
      <c r="J288" s="258">
        <f>372.5*1.15</f>
        <v>428.37499999999994</v>
      </c>
      <c r="K288" s="101">
        <v>214.12</v>
      </c>
      <c r="L288" s="103"/>
      <c r="M288" s="59"/>
      <c r="U288" s="238"/>
      <c r="V288" s="59"/>
    </row>
    <row r="289" spans="1:22" ht="15" customHeight="1" x14ac:dyDescent="0.2">
      <c r="A289" s="95" t="s">
        <v>38</v>
      </c>
      <c r="B289" s="96">
        <v>44320</v>
      </c>
      <c r="C289" s="97">
        <v>42</v>
      </c>
      <c r="D289" s="104">
        <v>637004</v>
      </c>
      <c r="E289" s="119" t="s">
        <v>27</v>
      </c>
      <c r="F289" s="100">
        <v>100.05</v>
      </c>
      <c r="G289" s="285"/>
      <c r="H289" s="283"/>
      <c r="I289" s="101"/>
      <c r="J289" s="101"/>
      <c r="K289" s="101"/>
      <c r="L289" s="103"/>
      <c r="M289" s="59"/>
      <c r="U289" s="238"/>
      <c r="V289" s="59"/>
    </row>
    <row r="290" spans="1:22" ht="15" customHeight="1" x14ac:dyDescent="0.2">
      <c r="A290" s="95" t="s">
        <v>38</v>
      </c>
      <c r="B290" s="96">
        <v>43589</v>
      </c>
      <c r="C290" s="97">
        <v>46</v>
      </c>
      <c r="D290" s="104">
        <v>637004</v>
      </c>
      <c r="E290" s="119" t="s">
        <v>27</v>
      </c>
      <c r="F290" s="100">
        <v>4897.99</v>
      </c>
      <c r="G290" s="285">
        <v>0</v>
      </c>
      <c r="H290" s="283">
        <v>53994.86</v>
      </c>
      <c r="I290" s="101">
        <f>582.56*1.15</f>
        <v>669.94399999999985</v>
      </c>
      <c r="J290" s="101">
        <f>582.56*1.15</f>
        <v>669.94399999999985</v>
      </c>
      <c r="K290" s="101">
        <v>668.4</v>
      </c>
      <c r="L290" s="103"/>
      <c r="M290" s="59"/>
      <c r="U290" s="238"/>
      <c r="V290" s="59"/>
    </row>
    <row r="291" spans="1:22" ht="15" customHeight="1" x14ac:dyDescent="0.2">
      <c r="A291" s="95" t="s">
        <v>39</v>
      </c>
      <c r="B291" s="96">
        <v>43106</v>
      </c>
      <c r="C291" s="97">
        <v>41</v>
      </c>
      <c r="D291" s="104">
        <v>637004</v>
      </c>
      <c r="E291" s="127" t="s">
        <v>169</v>
      </c>
      <c r="F291" s="100">
        <v>14961.21</v>
      </c>
      <c r="G291" s="285">
        <v>57470.41</v>
      </c>
      <c r="H291" s="283">
        <v>6651.22</v>
      </c>
      <c r="I291" s="259">
        <v>46200</v>
      </c>
      <c r="J291" s="259">
        <v>46200</v>
      </c>
      <c r="K291" s="121">
        <v>46153.42</v>
      </c>
      <c r="L291" s="103"/>
      <c r="M291" s="59"/>
      <c r="U291" s="238"/>
      <c r="V291" s="59"/>
    </row>
    <row r="292" spans="1:22" ht="15" customHeight="1" x14ac:dyDescent="0.2">
      <c r="A292" s="95" t="s">
        <v>41</v>
      </c>
      <c r="B292" s="96">
        <v>43166</v>
      </c>
      <c r="C292" s="97">
        <v>41</v>
      </c>
      <c r="D292" s="104">
        <v>637004</v>
      </c>
      <c r="E292" s="119" t="s">
        <v>27</v>
      </c>
      <c r="F292" s="100">
        <v>3812.57</v>
      </c>
      <c r="G292" s="285">
        <v>6822.58</v>
      </c>
      <c r="H292" s="283">
        <v>11243.82</v>
      </c>
      <c r="I292" s="258">
        <f>(6000-218)*1.15</f>
        <v>6649.2999999999993</v>
      </c>
      <c r="J292" s="258">
        <v>6649.3</v>
      </c>
      <c r="K292" s="101">
        <v>2703.72</v>
      </c>
      <c r="L292" s="103"/>
      <c r="M292" s="59"/>
      <c r="U292" s="238"/>
      <c r="V292" s="59"/>
    </row>
    <row r="293" spans="1:22" ht="15" customHeight="1" x14ac:dyDescent="0.2">
      <c r="A293" s="95" t="s">
        <v>40</v>
      </c>
      <c r="B293" s="96">
        <v>43354</v>
      </c>
      <c r="C293" s="97">
        <v>41</v>
      </c>
      <c r="D293" s="104">
        <v>637004</v>
      </c>
      <c r="E293" s="127" t="s">
        <v>170</v>
      </c>
      <c r="F293" s="100">
        <v>2838.45</v>
      </c>
      <c r="G293" s="285">
        <f>10968.98+130</f>
        <v>11098.98</v>
      </c>
      <c r="H293" s="283">
        <v>3116.98</v>
      </c>
      <c r="I293" s="258">
        <v>12517.75</v>
      </c>
      <c r="J293" s="258">
        <v>12517.75</v>
      </c>
      <c r="K293" s="101">
        <v>5880.46</v>
      </c>
      <c r="L293" s="103"/>
      <c r="M293" s="59"/>
      <c r="U293" s="238"/>
      <c r="V293" s="59"/>
    </row>
    <row r="294" spans="1:22" ht="15" customHeight="1" x14ac:dyDescent="0.2">
      <c r="A294" s="95" t="s">
        <v>40</v>
      </c>
      <c r="B294" s="96">
        <v>43719</v>
      </c>
      <c r="C294" s="97">
        <v>42</v>
      </c>
      <c r="D294" s="104">
        <v>637004</v>
      </c>
      <c r="E294" s="119" t="s">
        <v>27</v>
      </c>
      <c r="F294" s="100">
        <v>2471.64</v>
      </c>
      <c r="G294" s="285">
        <v>940.19</v>
      </c>
      <c r="H294" s="283">
        <v>362.21</v>
      </c>
      <c r="I294" s="101">
        <f>5000*1.15</f>
        <v>5750</v>
      </c>
      <c r="J294" s="101">
        <f>5000*1.15</f>
        <v>5750</v>
      </c>
      <c r="K294" s="101">
        <v>1432.48</v>
      </c>
      <c r="L294" s="103"/>
      <c r="M294" s="59"/>
      <c r="U294" s="238"/>
      <c r="V294" s="59"/>
    </row>
    <row r="295" spans="1:22" ht="15" customHeight="1" x14ac:dyDescent="0.2">
      <c r="A295" s="95" t="s">
        <v>40</v>
      </c>
      <c r="B295" s="96">
        <v>43719</v>
      </c>
      <c r="C295" s="97">
        <v>46</v>
      </c>
      <c r="D295" s="104">
        <v>637004</v>
      </c>
      <c r="E295" s="119" t="s">
        <v>27</v>
      </c>
      <c r="F295" s="100">
        <v>26234.560000000001</v>
      </c>
      <c r="G295" s="285">
        <v>3921.65</v>
      </c>
      <c r="H295" s="283">
        <v>7445.79</v>
      </c>
      <c r="I295" s="102">
        <f>16000*1.15</f>
        <v>18400</v>
      </c>
      <c r="J295" s="102">
        <f>16000*1.15</f>
        <v>18400</v>
      </c>
      <c r="K295" s="102">
        <v>21880.55</v>
      </c>
      <c r="L295" s="103"/>
      <c r="M295" s="59"/>
      <c r="U295" s="238"/>
      <c r="V295" s="59"/>
    </row>
    <row r="296" spans="1:22" ht="15" customHeight="1" x14ac:dyDescent="0.2">
      <c r="A296" s="95" t="s">
        <v>39</v>
      </c>
      <c r="B296" s="96">
        <v>43106</v>
      </c>
      <c r="C296" s="111">
        <v>42</v>
      </c>
      <c r="D296" s="104">
        <v>637004</v>
      </c>
      <c r="E296" s="119" t="s">
        <v>27</v>
      </c>
      <c r="F296" s="100">
        <v>7969.5</v>
      </c>
      <c r="G296" s="285">
        <v>7057.22</v>
      </c>
      <c r="H296" s="283">
        <v>2463.12</v>
      </c>
      <c r="I296" s="102"/>
      <c r="J296" s="102"/>
      <c r="K296" s="102"/>
      <c r="L296" s="103"/>
      <c r="M296" s="59"/>
      <c r="U296" s="238"/>
      <c r="V296" s="59"/>
    </row>
    <row r="297" spans="1:22" ht="15" customHeight="1" x14ac:dyDescent="0.2">
      <c r="A297" s="95" t="s">
        <v>41</v>
      </c>
      <c r="B297" s="96">
        <v>43166</v>
      </c>
      <c r="C297" s="97">
        <v>42</v>
      </c>
      <c r="D297" s="104">
        <v>637004</v>
      </c>
      <c r="E297" s="119" t="s">
        <v>27</v>
      </c>
      <c r="F297" s="100">
        <v>10725.13</v>
      </c>
      <c r="G297" s="285">
        <v>7862.45</v>
      </c>
      <c r="H297" s="283"/>
      <c r="I297" s="102"/>
      <c r="J297" s="102"/>
      <c r="K297" s="102"/>
      <c r="L297" s="103"/>
      <c r="M297" s="59"/>
      <c r="U297" s="238"/>
      <c r="V297" s="59"/>
    </row>
    <row r="298" spans="1:22" ht="15" customHeight="1" x14ac:dyDescent="0.2">
      <c r="A298" s="95" t="s">
        <v>41</v>
      </c>
      <c r="B298" s="96">
        <v>43531</v>
      </c>
      <c r="C298" s="97">
        <v>46</v>
      </c>
      <c r="D298" s="104">
        <v>637004</v>
      </c>
      <c r="E298" s="119" t="s">
        <v>27</v>
      </c>
      <c r="F298" s="100">
        <v>919.31</v>
      </c>
      <c r="G298" s="285">
        <v>0</v>
      </c>
      <c r="H298" s="283"/>
      <c r="I298" s="101"/>
      <c r="J298" s="101"/>
      <c r="K298" s="101"/>
      <c r="L298" s="103"/>
      <c r="M298" s="59"/>
      <c r="U298" s="238"/>
      <c r="V298" s="59"/>
    </row>
    <row r="299" spans="1:22" ht="15" customHeight="1" x14ac:dyDescent="0.2">
      <c r="A299" s="95" t="s">
        <v>39</v>
      </c>
      <c r="B299" s="96">
        <v>43106</v>
      </c>
      <c r="C299" s="97">
        <v>42</v>
      </c>
      <c r="D299" s="104">
        <v>637004</v>
      </c>
      <c r="E299" s="119" t="s">
        <v>27</v>
      </c>
      <c r="F299" s="100">
        <v>0</v>
      </c>
      <c r="G299" s="285">
        <v>0</v>
      </c>
      <c r="H299" s="283">
        <v>2480.85</v>
      </c>
      <c r="I299" s="101">
        <v>0</v>
      </c>
      <c r="J299" s="101">
        <v>0</v>
      </c>
      <c r="K299" s="101"/>
      <c r="L299" s="103"/>
      <c r="M299" s="59"/>
      <c r="U299" s="238"/>
      <c r="V299" s="59"/>
    </row>
    <row r="300" spans="1:22" ht="15" customHeight="1" x14ac:dyDescent="0.2">
      <c r="A300" s="95" t="s">
        <v>39</v>
      </c>
      <c r="B300" s="96">
        <v>43471</v>
      </c>
      <c r="C300" s="97">
        <v>46</v>
      </c>
      <c r="D300" s="104">
        <v>637004</v>
      </c>
      <c r="E300" s="119" t="s">
        <v>27</v>
      </c>
      <c r="F300" s="100">
        <v>4400.37</v>
      </c>
      <c r="G300" s="285">
        <v>7480.06</v>
      </c>
      <c r="H300" s="283">
        <v>0</v>
      </c>
      <c r="I300" s="101">
        <f>3844.44*1.15</f>
        <v>4421.1059999999998</v>
      </c>
      <c r="J300" s="101">
        <f>3844.44*1.15</f>
        <v>4421.1059999999998</v>
      </c>
      <c r="K300" s="101">
        <v>14616.76</v>
      </c>
      <c r="L300" s="103"/>
      <c r="M300" s="59"/>
      <c r="U300" s="238"/>
      <c r="V300" s="59"/>
    </row>
    <row r="301" spans="1:22" ht="15" customHeight="1" x14ac:dyDescent="0.2">
      <c r="A301" s="95" t="s">
        <v>42</v>
      </c>
      <c r="B301" s="96">
        <v>43354</v>
      </c>
      <c r="C301" s="97">
        <v>46</v>
      </c>
      <c r="D301" s="104">
        <v>637004</v>
      </c>
      <c r="E301" s="119" t="s">
        <v>27</v>
      </c>
      <c r="F301" s="100">
        <v>0</v>
      </c>
      <c r="G301" s="285">
        <v>0</v>
      </c>
      <c r="H301" s="283"/>
      <c r="I301" s="101">
        <v>0</v>
      </c>
      <c r="J301" s="101">
        <v>0</v>
      </c>
      <c r="K301" s="101"/>
      <c r="L301" s="103"/>
      <c r="M301" s="59"/>
      <c r="U301" s="238"/>
      <c r="V301" s="59"/>
    </row>
    <row r="302" spans="1:22" ht="15" customHeight="1" x14ac:dyDescent="0.2">
      <c r="A302" s="95" t="s">
        <v>42</v>
      </c>
      <c r="B302" s="96">
        <v>43354</v>
      </c>
      <c r="C302" s="97">
        <v>41</v>
      </c>
      <c r="D302" s="104">
        <v>637004</v>
      </c>
      <c r="E302" s="119" t="s">
        <v>27</v>
      </c>
      <c r="F302" s="100">
        <v>36</v>
      </c>
      <c r="G302" s="285"/>
      <c r="H302" s="101"/>
      <c r="I302" s="258"/>
      <c r="J302" s="258"/>
      <c r="K302" s="101"/>
      <c r="L302" s="103"/>
      <c r="M302" s="59"/>
      <c r="U302" s="238"/>
      <c r="V302" s="59"/>
    </row>
    <row r="303" spans="1:22" x14ac:dyDescent="0.2">
      <c r="A303" s="62"/>
      <c r="B303" s="118"/>
      <c r="C303" s="97"/>
      <c r="D303" s="104">
        <v>637005</v>
      </c>
      <c r="E303" s="119" t="s">
        <v>43</v>
      </c>
      <c r="F303" s="120">
        <f t="shared" ref="F303" si="123">SUM(F304:F316)</f>
        <v>51058.62000000001</v>
      </c>
      <c r="G303" s="100">
        <f>SUM(G304:G316)</f>
        <v>61784.880000000005</v>
      </c>
      <c r="H303" s="288">
        <f t="shared" ref="H303" si="124">SUM(H304:H316)</f>
        <v>63244.38</v>
      </c>
      <c r="I303" s="228">
        <f>SUM(I304:I316)</f>
        <v>59000</v>
      </c>
      <c r="J303" s="228">
        <f>SUM(J304:J316)</f>
        <v>59000</v>
      </c>
      <c r="K303" s="228">
        <f>SUM(K304:K316)</f>
        <v>67916.36</v>
      </c>
      <c r="L303" s="103"/>
      <c r="M303" s="59"/>
      <c r="U303" s="238"/>
      <c r="V303" s="59"/>
    </row>
    <row r="304" spans="1:22" ht="15" customHeight="1" x14ac:dyDescent="0.2">
      <c r="A304" s="95" t="s">
        <v>40</v>
      </c>
      <c r="B304" s="96">
        <v>43354</v>
      </c>
      <c r="C304" s="97">
        <v>42</v>
      </c>
      <c r="D304" s="104">
        <v>637005</v>
      </c>
      <c r="E304" s="119" t="s">
        <v>43</v>
      </c>
      <c r="F304" s="100">
        <v>6731.04</v>
      </c>
      <c r="G304" s="285">
        <v>4294</v>
      </c>
      <c r="H304" s="283" t="s">
        <v>195</v>
      </c>
      <c r="I304" s="101">
        <f>4000*1.15</f>
        <v>4600</v>
      </c>
      <c r="J304" s="101">
        <f>4000*1.15</f>
        <v>4600</v>
      </c>
      <c r="K304" s="101"/>
      <c r="L304" s="103"/>
      <c r="M304" s="59"/>
      <c r="U304" s="238"/>
      <c r="V304" s="59"/>
    </row>
    <row r="305" spans="1:22" ht="15" customHeight="1" x14ac:dyDescent="0.2">
      <c r="A305" s="95" t="s">
        <v>40</v>
      </c>
      <c r="B305" s="96">
        <v>43354</v>
      </c>
      <c r="C305" s="97">
        <v>46</v>
      </c>
      <c r="D305" s="104">
        <v>637005</v>
      </c>
      <c r="E305" s="119" t="s">
        <v>43</v>
      </c>
      <c r="F305" s="100">
        <v>16560</v>
      </c>
      <c r="G305" s="285">
        <v>6720.8</v>
      </c>
      <c r="H305" s="283">
        <v>8280</v>
      </c>
      <c r="I305" s="101">
        <f>8000*1.15</f>
        <v>9200</v>
      </c>
      <c r="J305" s="101">
        <f>8000*1.15</f>
        <v>9200</v>
      </c>
      <c r="K305" s="101">
        <v>13758</v>
      </c>
      <c r="L305" s="103"/>
      <c r="M305" s="59"/>
      <c r="U305" s="238"/>
      <c r="V305" s="59"/>
    </row>
    <row r="306" spans="1:22" ht="15" customHeight="1" x14ac:dyDescent="0.2">
      <c r="A306" s="95" t="s">
        <v>42</v>
      </c>
      <c r="B306" s="96" t="s">
        <v>70</v>
      </c>
      <c r="C306" s="97">
        <v>41</v>
      </c>
      <c r="D306" s="104">
        <v>637005</v>
      </c>
      <c r="E306" s="119" t="s">
        <v>173</v>
      </c>
      <c r="F306" s="100">
        <v>304.39999999999998</v>
      </c>
      <c r="G306" s="285"/>
      <c r="H306" s="283">
        <v>0</v>
      </c>
      <c r="I306" s="258">
        <v>0</v>
      </c>
      <c r="J306" s="258">
        <v>0</v>
      </c>
      <c r="K306" s="101"/>
      <c r="L306" s="103"/>
      <c r="M306" s="59"/>
      <c r="U306" s="238"/>
      <c r="V306" s="59"/>
    </row>
    <row r="307" spans="1:22" ht="15" customHeight="1" x14ac:dyDescent="0.2">
      <c r="A307" s="95" t="s">
        <v>39</v>
      </c>
      <c r="B307" s="96">
        <v>43106</v>
      </c>
      <c r="C307" s="97">
        <v>41</v>
      </c>
      <c r="D307" s="104">
        <v>637005</v>
      </c>
      <c r="E307" s="119" t="s">
        <v>43</v>
      </c>
      <c r="F307" s="100">
        <v>4003.86</v>
      </c>
      <c r="G307" s="285">
        <v>10503</v>
      </c>
      <c r="H307" s="283">
        <v>17216.8</v>
      </c>
      <c r="I307" s="258">
        <v>6100</v>
      </c>
      <c r="J307" s="258">
        <v>6100</v>
      </c>
      <c r="K307" s="101">
        <v>12253.5</v>
      </c>
      <c r="L307" s="103"/>
      <c r="M307" s="59"/>
      <c r="U307" s="238"/>
      <c r="V307" s="59"/>
    </row>
    <row r="308" spans="1:22" ht="15" customHeight="1" x14ac:dyDescent="0.2">
      <c r="A308" s="95" t="s">
        <v>39</v>
      </c>
      <c r="B308" s="96">
        <v>43471</v>
      </c>
      <c r="C308" s="97">
        <v>42</v>
      </c>
      <c r="D308" s="104">
        <v>637005</v>
      </c>
      <c r="E308" s="119" t="s">
        <v>43</v>
      </c>
      <c r="F308" s="100">
        <v>751.2</v>
      </c>
      <c r="G308" s="285">
        <v>658</v>
      </c>
      <c r="H308" s="283"/>
      <c r="I308" s="101"/>
      <c r="J308" s="101"/>
      <c r="K308" s="101"/>
      <c r="L308" s="103"/>
      <c r="M308" s="59"/>
      <c r="U308" s="238"/>
      <c r="V308" s="59"/>
    </row>
    <row r="309" spans="1:22" ht="15" customHeight="1" x14ac:dyDescent="0.2">
      <c r="A309" s="95" t="s">
        <v>41</v>
      </c>
      <c r="B309" s="96">
        <v>43166</v>
      </c>
      <c r="C309" s="97">
        <v>41</v>
      </c>
      <c r="D309" s="104">
        <v>637005</v>
      </c>
      <c r="E309" s="119" t="s">
        <v>43</v>
      </c>
      <c r="F309" s="100">
        <v>0</v>
      </c>
      <c r="G309" s="285">
        <v>0</v>
      </c>
      <c r="H309" s="283">
        <v>0</v>
      </c>
      <c r="I309" s="258">
        <v>0</v>
      </c>
      <c r="J309" s="258">
        <v>0</v>
      </c>
      <c r="K309" s="101">
        <v>594</v>
      </c>
      <c r="L309" s="103"/>
      <c r="M309" s="59"/>
      <c r="U309" s="238"/>
      <c r="V309" s="59"/>
    </row>
    <row r="310" spans="1:22" ht="15" customHeight="1" x14ac:dyDescent="0.2">
      <c r="A310" s="95" t="s">
        <v>38</v>
      </c>
      <c r="B310" s="96">
        <v>43589</v>
      </c>
      <c r="C310" s="97">
        <v>46</v>
      </c>
      <c r="D310" s="104">
        <v>637005</v>
      </c>
      <c r="E310" s="119" t="s">
        <v>43</v>
      </c>
      <c r="F310" s="100">
        <v>1957.92</v>
      </c>
      <c r="G310" s="285">
        <v>215</v>
      </c>
      <c r="H310" s="283">
        <v>512.91999999999996</v>
      </c>
      <c r="I310" s="101">
        <f>2000*1.15</f>
        <v>2300</v>
      </c>
      <c r="J310" s="101">
        <f>2000*1.15</f>
        <v>2300</v>
      </c>
      <c r="K310" s="101">
        <v>1498.5</v>
      </c>
      <c r="L310" s="103"/>
      <c r="M310" s="59"/>
      <c r="U310" s="238"/>
      <c r="V310" s="59"/>
    </row>
    <row r="311" spans="1:22" ht="15" customHeight="1" x14ac:dyDescent="0.2">
      <c r="A311" s="95" t="s">
        <v>38</v>
      </c>
      <c r="B311" s="96">
        <v>44320</v>
      </c>
      <c r="C311" s="97">
        <v>41</v>
      </c>
      <c r="D311" s="104">
        <v>637005</v>
      </c>
      <c r="E311" s="119" t="s">
        <v>43</v>
      </c>
      <c r="F311" s="100">
        <v>459</v>
      </c>
      <c r="G311" s="285">
        <v>2731</v>
      </c>
      <c r="H311" s="283"/>
      <c r="I311" s="258"/>
      <c r="J311" s="258"/>
      <c r="K311" s="101"/>
      <c r="L311" s="103"/>
      <c r="M311" s="59"/>
      <c r="U311" s="238"/>
      <c r="V311" s="59"/>
    </row>
    <row r="312" spans="1:22" ht="15" customHeight="1" x14ac:dyDescent="0.2">
      <c r="A312" s="95" t="s">
        <v>41</v>
      </c>
      <c r="B312" s="96">
        <v>43531</v>
      </c>
      <c r="C312" s="97">
        <v>46</v>
      </c>
      <c r="D312" s="104">
        <v>637005</v>
      </c>
      <c r="E312" s="119" t="s">
        <v>43</v>
      </c>
      <c r="F312" s="100">
        <v>0</v>
      </c>
      <c r="G312" s="285">
        <v>0</v>
      </c>
      <c r="H312" s="283"/>
      <c r="I312" s="101">
        <v>0</v>
      </c>
      <c r="J312" s="101">
        <v>0</v>
      </c>
      <c r="K312" s="101"/>
      <c r="L312" s="103"/>
      <c r="M312" s="59"/>
      <c r="U312" s="238"/>
      <c r="V312" s="59"/>
    </row>
    <row r="313" spans="1:22" ht="15" customHeight="1" x14ac:dyDescent="0.2">
      <c r="A313" s="95" t="s">
        <v>40</v>
      </c>
      <c r="B313" s="96">
        <v>43354</v>
      </c>
      <c r="C313" s="97">
        <v>41</v>
      </c>
      <c r="D313" s="104">
        <v>637005</v>
      </c>
      <c r="E313" s="119" t="s">
        <v>43</v>
      </c>
      <c r="F313" s="100">
        <v>16151.2</v>
      </c>
      <c r="G313" s="285">
        <v>22373.38</v>
      </c>
      <c r="H313" s="283">
        <v>4783.2</v>
      </c>
      <c r="I313" s="258">
        <f>12000*1.15</f>
        <v>13799.999999999998</v>
      </c>
      <c r="J313" s="258">
        <f>12000*1.15</f>
        <v>13799.999999999998</v>
      </c>
      <c r="K313" s="101">
        <v>19336</v>
      </c>
      <c r="L313" s="103"/>
      <c r="M313" s="59"/>
      <c r="U313" s="238"/>
      <c r="V313" s="59"/>
    </row>
    <row r="314" spans="1:22" ht="15" customHeight="1" x14ac:dyDescent="0.2">
      <c r="A314" s="95" t="s">
        <v>42</v>
      </c>
      <c r="B314" s="118" t="s">
        <v>70</v>
      </c>
      <c r="C314" s="97">
        <v>41</v>
      </c>
      <c r="D314" s="104">
        <v>637005</v>
      </c>
      <c r="E314" s="119" t="s">
        <v>43</v>
      </c>
      <c r="F314" s="100">
        <v>0</v>
      </c>
      <c r="G314" s="285">
        <v>0</v>
      </c>
      <c r="H314" s="283">
        <v>0</v>
      </c>
      <c r="I314" s="258">
        <v>0</v>
      </c>
      <c r="J314" s="258">
        <v>0</v>
      </c>
      <c r="K314" s="101"/>
      <c r="L314" s="103"/>
      <c r="M314" s="59"/>
      <c r="U314" s="238"/>
      <c r="V314" s="59"/>
    </row>
    <row r="315" spans="1:22" ht="15" customHeight="1" x14ac:dyDescent="0.2">
      <c r="A315" s="95" t="s">
        <v>41</v>
      </c>
      <c r="B315" s="96">
        <v>43166</v>
      </c>
      <c r="C315" s="97">
        <v>42</v>
      </c>
      <c r="D315" s="104">
        <v>637005</v>
      </c>
      <c r="E315" s="119" t="s">
        <v>43</v>
      </c>
      <c r="F315" s="100">
        <v>0</v>
      </c>
      <c r="G315" s="285">
        <v>4140</v>
      </c>
      <c r="H315" s="283"/>
      <c r="I315" s="101">
        <f>(5000+752.53)*1.15</f>
        <v>6615.4094999999988</v>
      </c>
      <c r="J315" s="101">
        <f>(5000+752.53)*1.15</f>
        <v>6615.4094999999988</v>
      </c>
      <c r="K315" s="101">
        <v>4140</v>
      </c>
      <c r="L315" s="103"/>
      <c r="M315" s="59"/>
      <c r="U315" s="238"/>
      <c r="V315" s="59"/>
    </row>
    <row r="316" spans="1:22" ht="15" customHeight="1" x14ac:dyDescent="0.2">
      <c r="A316" s="95" t="s">
        <v>39</v>
      </c>
      <c r="B316" s="96">
        <v>43106</v>
      </c>
      <c r="C316" s="97">
        <v>46</v>
      </c>
      <c r="D316" s="104">
        <v>637005</v>
      </c>
      <c r="E316" s="119" t="s">
        <v>43</v>
      </c>
      <c r="F316" s="100">
        <v>4140</v>
      </c>
      <c r="G316" s="285">
        <v>10149.700000000001</v>
      </c>
      <c r="H316" s="283">
        <v>32451.46</v>
      </c>
      <c r="I316" s="101">
        <f>14247.47*1.15</f>
        <v>16384.590499999998</v>
      </c>
      <c r="J316" s="101">
        <f>14247.47*1.15</f>
        <v>16384.590499999998</v>
      </c>
      <c r="K316" s="101">
        <v>16336.36</v>
      </c>
      <c r="L316" s="103"/>
      <c r="M316" s="59"/>
      <c r="U316" s="238"/>
      <c r="V316" s="59"/>
    </row>
    <row r="317" spans="1:22" ht="15" customHeight="1" x14ac:dyDescent="0.2">
      <c r="A317" s="95" t="s">
        <v>191</v>
      </c>
      <c r="B317" s="96"/>
      <c r="C317" s="97">
        <v>41</v>
      </c>
      <c r="D317" s="145" t="s">
        <v>182</v>
      </c>
      <c r="E317" s="119" t="s">
        <v>183</v>
      </c>
      <c r="F317" s="100"/>
      <c r="G317" s="285"/>
      <c r="H317" s="283">
        <v>0</v>
      </c>
      <c r="I317" s="257">
        <v>0</v>
      </c>
      <c r="J317" s="257">
        <v>0</v>
      </c>
      <c r="K317" s="257">
        <v>0</v>
      </c>
      <c r="L317" s="103"/>
      <c r="M317" s="59"/>
      <c r="U317" s="238"/>
      <c r="V317" s="59"/>
    </row>
    <row r="318" spans="1:22" ht="15" customHeight="1" x14ac:dyDescent="0.2">
      <c r="A318" s="95" t="s">
        <v>191</v>
      </c>
      <c r="B318" s="96"/>
      <c r="C318" s="97">
        <v>46</v>
      </c>
      <c r="D318" s="145" t="s">
        <v>182</v>
      </c>
      <c r="E318" s="119" t="s">
        <v>183</v>
      </c>
      <c r="F318" s="100"/>
      <c r="G318" s="285"/>
      <c r="H318" s="283">
        <v>6000</v>
      </c>
      <c r="I318" s="229">
        <v>0</v>
      </c>
      <c r="J318" s="229">
        <v>0</v>
      </c>
      <c r="K318" s="229"/>
      <c r="L318" s="103"/>
      <c r="M318" s="59"/>
      <c r="U318" s="238"/>
      <c r="V318" s="59"/>
    </row>
    <row r="319" spans="1:22" x14ac:dyDescent="0.2">
      <c r="A319" s="95"/>
      <c r="B319" s="96"/>
      <c r="C319" s="97"/>
      <c r="D319" s="104">
        <v>637006</v>
      </c>
      <c r="E319" s="119" t="s">
        <v>115</v>
      </c>
      <c r="F319" s="100">
        <f t="shared" ref="F319" si="125">SUM(F320:F322)</f>
        <v>25</v>
      </c>
      <c r="G319" s="285">
        <f t="shared" ref="G319" si="126">SUM(G320:G322)</f>
        <v>20</v>
      </c>
      <c r="H319" s="283">
        <f t="shared" ref="H319" si="127">SUM(H320:H322)</f>
        <v>260</v>
      </c>
      <c r="I319" s="102">
        <f>SUM(I320:I322)</f>
        <v>345</v>
      </c>
      <c r="J319" s="102">
        <f>SUM(J320:J322)</f>
        <v>345</v>
      </c>
      <c r="K319" s="102">
        <f>SUM(K320:K322)</f>
        <v>323.39999999999998</v>
      </c>
      <c r="L319" s="103"/>
      <c r="M319" s="59"/>
      <c r="U319" s="238"/>
      <c r="V319" s="59"/>
    </row>
    <row r="320" spans="1:22" ht="15" customHeight="1" x14ac:dyDescent="0.2">
      <c r="A320" s="95" t="s">
        <v>39</v>
      </c>
      <c r="B320" s="96">
        <v>43471</v>
      </c>
      <c r="C320" s="97">
        <v>41</v>
      </c>
      <c r="D320" s="104">
        <v>637006</v>
      </c>
      <c r="E320" s="119" t="s">
        <v>114</v>
      </c>
      <c r="F320" s="100">
        <v>25</v>
      </c>
      <c r="G320" s="285">
        <v>0</v>
      </c>
      <c r="H320" s="283">
        <v>260</v>
      </c>
      <c r="I320" s="257">
        <v>345</v>
      </c>
      <c r="J320" s="257">
        <v>345</v>
      </c>
      <c r="K320" s="102">
        <v>323.39999999999998</v>
      </c>
      <c r="L320" s="103"/>
      <c r="M320" s="59"/>
      <c r="U320" s="238"/>
      <c r="V320" s="59"/>
    </row>
    <row r="321" spans="1:22" ht="15" customHeight="1" x14ac:dyDescent="0.2">
      <c r="A321" s="95" t="s">
        <v>40</v>
      </c>
      <c r="B321" s="96">
        <v>43354</v>
      </c>
      <c r="C321" s="97">
        <v>41</v>
      </c>
      <c r="D321" s="104">
        <v>637006</v>
      </c>
      <c r="E321" s="119" t="s">
        <v>114</v>
      </c>
      <c r="F321" s="100"/>
      <c r="G321" s="285">
        <v>20</v>
      </c>
      <c r="H321" s="283"/>
      <c r="I321" s="257"/>
      <c r="J321" s="257"/>
      <c r="K321" s="102"/>
      <c r="L321" s="103"/>
      <c r="M321" s="59"/>
      <c r="U321" s="238"/>
      <c r="V321" s="59"/>
    </row>
    <row r="322" spans="1:22" ht="15" customHeight="1" x14ac:dyDescent="0.2">
      <c r="A322" s="95" t="s">
        <v>41</v>
      </c>
      <c r="B322" s="96">
        <v>43531</v>
      </c>
      <c r="C322" s="97">
        <v>41</v>
      </c>
      <c r="D322" s="104">
        <v>637006</v>
      </c>
      <c r="E322" s="119" t="s">
        <v>114</v>
      </c>
      <c r="F322" s="100"/>
      <c r="G322" s="285"/>
      <c r="H322" s="283"/>
      <c r="I322" s="257"/>
      <c r="J322" s="257"/>
      <c r="K322" s="102"/>
      <c r="L322" s="103"/>
      <c r="M322" s="59"/>
      <c r="U322" s="238"/>
      <c r="V322" s="59"/>
    </row>
    <row r="323" spans="1:22" x14ac:dyDescent="0.2">
      <c r="A323" s="95"/>
      <c r="B323" s="96"/>
      <c r="C323" s="97"/>
      <c r="D323" s="104">
        <v>637007</v>
      </c>
      <c r="E323" s="119" t="s">
        <v>60</v>
      </c>
      <c r="F323" s="100">
        <f t="shared" ref="F323" si="128">SUM(F324:F325)</f>
        <v>0</v>
      </c>
      <c r="G323" s="285">
        <f t="shared" ref="G323" si="129">SUM(G324:G325)</f>
        <v>0</v>
      </c>
      <c r="H323" s="285">
        <f t="shared" ref="H323" si="130">SUM(H324:H325)</f>
        <v>0</v>
      </c>
      <c r="I323" s="229">
        <v>0</v>
      </c>
      <c r="J323" s="229">
        <v>0</v>
      </c>
      <c r="K323" s="229"/>
      <c r="L323" s="103"/>
      <c r="M323" s="59"/>
      <c r="U323" s="238"/>
      <c r="V323" s="59"/>
    </row>
    <row r="324" spans="1:22" ht="15" customHeight="1" x14ac:dyDescent="0.2">
      <c r="A324" s="95" t="s">
        <v>41</v>
      </c>
      <c r="B324" s="96">
        <v>43531</v>
      </c>
      <c r="C324" s="97">
        <v>41</v>
      </c>
      <c r="D324" s="104">
        <v>637007</v>
      </c>
      <c r="E324" s="119" t="s">
        <v>60</v>
      </c>
      <c r="F324" s="100"/>
      <c r="G324" s="285"/>
      <c r="H324" s="283"/>
      <c r="I324" s="257">
        <v>0</v>
      </c>
      <c r="J324" s="257">
        <v>0</v>
      </c>
      <c r="K324" s="229"/>
      <c r="L324" s="103"/>
      <c r="M324" s="59"/>
      <c r="U324" s="238"/>
      <c r="V324" s="59"/>
    </row>
    <row r="325" spans="1:22" ht="15" customHeight="1" x14ac:dyDescent="0.2">
      <c r="A325" s="95" t="s">
        <v>39</v>
      </c>
      <c r="B325" s="96">
        <v>43106</v>
      </c>
      <c r="C325" s="97">
        <v>41</v>
      </c>
      <c r="D325" s="104">
        <v>637007</v>
      </c>
      <c r="E325" s="119" t="s">
        <v>60</v>
      </c>
      <c r="F325" s="100">
        <v>0</v>
      </c>
      <c r="G325" s="285">
        <v>0</v>
      </c>
      <c r="H325" s="283">
        <v>0</v>
      </c>
      <c r="I325" s="257">
        <v>0</v>
      </c>
      <c r="J325" s="257">
        <v>0</v>
      </c>
      <c r="K325" s="229"/>
      <c r="L325" s="103"/>
      <c r="M325" s="59"/>
      <c r="U325" s="238"/>
      <c r="V325" s="59"/>
    </row>
    <row r="326" spans="1:22" x14ac:dyDescent="0.2">
      <c r="A326" s="62"/>
      <c r="B326" s="118"/>
      <c r="C326" s="97"/>
      <c r="D326" s="104">
        <v>637012</v>
      </c>
      <c r="E326" s="119" t="s">
        <v>28</v>
      </c>
      <c r="F326" s="120">
        <f t="shared" ref="F326:I326" si="131">SUM(F327:F337)</f>
        <v>673.06</v>
      </c>
      <c r="G326" s="288">
        <f t="shared" ref="G326" si="132">SUM(G327:G337)</f>
        <v>623.86</v>
      </c>
      <c r="H326" s="288">
        <f t="shared" ref="H326" si="133">SUM(H327:H337)</f>
        <v>1101.1100000000001</v>
      </c>
      <c r="I326" s="102">
        <f t="shared" si="131"/>
        <v>805</v>
      </c>
      <c r="J326" s="102">
        <f t="shared" ref="J326:K326" si="134">SUM(J327:J337)</f>
        <v>805</v>
      </c>
      <c r="K326" s="102">
        <f t="shared" si="134"/>
        <v>3844.44</v>
      </c>
      <c r="L326" s="103"/>
      <c r="M326" s="59"/>
      <c r="U326" s="238"/>
      <c r="V326" s="59"/>
    </row>
    <row r="327" spans="1:22" ht="15" customHeight="1" x14ac:dyDescent="0.2">
      <c r="A327" s="95" t="s">
        <v>39</v>
      </c>
      <c r="B327" s="96">
        <v>43106</v>
      </c>
      <c r="C327" s="97">
        <v>41</v>
      </c>
      <c r="D327" s="104">
        <v>637012</v>
      </c>
      <c r="E327" s="119" t="s">
        <v>28</v>
      </c>
      <c r="F327" s="100">
        <v>275.38</v>
      </c>
      <c r="G327" s="285">
        <v>238.2</v>
      </c>
      <c r="H327" s="283">
        <v>320.32</v>
      </c>
      <c r="I327" s="257">
        <v>460</v>
      </c>
      <c r="J327" s="257">
        <v>460</v>
      </c>
      <c r="K327" s="102">
        <v>3386.74</v>
      </c>
      <c r="L327" s="103"/>
      <c r="M327" s="59"/>
      <c r="U327" s="238"/>
      <c r="V327" s="59"/>
    </row>
    <row r="328" spans="1:22" ht="15" customHeight="1" x14ac:dyDescent="0.2">
      <c r="A328" s="95" t="s">
        <v>41</v>
      </c>
      <c r="B328" s="96">
        <v>43166</v>
      </c>
      <c r="C328" s="97">
        <v>41</v>
      </c>
      <c r="D328" s="104">
        <v>637012</v>
      </c>
      <c r="E328" s="119" t="s">
        <v>28</v>
      </c>
      <c r="F328" s="100">
        <v>43.5</v>
      </c>
      <c r="G328" s="285">
        <v>40.799999999999997</v>
      </c>
      <c r="H328" s="283">
        <v>533.07000000000005</v>
      </c>
      <c r="I328" s="257">
        <v>115</v>
      </c>
      <c r="J328" s="257">
        <v>115</v>
      </c>
      <c r="K328" s="102">
        <v>100</v>
      </c>
      <c r="L328" s="103"/>
      <c r="M328" s="59"/>
      <c r="U328" s="238"/>
      <c r="V328" s="59"/>
    </row>
    <row r="329" spans="1:22" ht="15" customHeight="1" x14ac:dyDescent="0.2">
      <c r="A329" s="95" t="s">
        <v>40</v>
      </c>
      <c r="B329" s="96">
        <v>43354</v>
      </c>
      <c r="C329" s="97">
        <v>41</v>
      </c>
      <c r="D329" s="104">
        <v>637012</v>
      </c>
      <c r="E329" s="119" t="s">
        <v>28</v>
      </c>
      <c r="F329" s="100">
        <v>95.04</v>
      </c>
      <c r="G329" s="285">
        <v>144.75</v>
      </c>
      <c r="H329" s="283">
        <v>51.74</v>
      </c>
      <c r="I329" s="257">
        <f>200*1.15</f>
        <v>229.99999999999997</v>
      </c>
      <c r="J329" s="257">
        <f>200*1.15</f>
        <v>229.99999999999997</v>
      </c>
      <c r="K329" s="102">
        <v>120</v>
      </c>
      <c r="L329" s="103"/>
      <c r="M329" s="59"/>
      <c r="U329" s="238"/>
      <c r="V329" s="59"/>
    </row>
    <row r="330" spans="1:22" ht="15" customHeight="1" x14ac:dyDescent="0.2">
      <c r="A330" s="95" t="s">
        <v>40</v>
      </c>
      <c r="B330" s="96">
        <v>43719</v>
      </c>
      <c r="C330" s="97">
        <v>42</v>
      </c>
      <c r="D330" s="104">
        <v>637012</v>
      </c>
      <c r="E330" s="119" t="s">
        <v>28</v>
      </c>
      <c r="F330" s="100">
        <v>135.36000000000001</v>
      </c>
      <c r="G330" s="285">
        <v>21.78</v>
      </c>
      <c r="H330" s="283">
        <v>17.28</v>
      </c>
      <c r="I330" s="102"/>
      <c r="J330" s="102"/>
      <c r="K330" s="102"/>
      <c r="L330" s="103"/>
      <c r="M330" s="59"/>
      <c r="U330" s="238"/>
      <c r="V330" s="59"/>
    </row>
    <row r="331" spans="1:22" ht="15" customHeight="1" x14ac:dyDescent="0.2">
      <c r="A331" s="95" t="s">
        <v>40</v>
      </c>
      <c r="B331" s="96">
        <v>43719</v>
      </c>
      <c r="C331" s="97">
        <v>46</v>
      </c>
      <c r="D331" s="104">
        <v>637012</v>
      </c>
      <c r="E331" s="119" t="s">
        <v>28</v>
      </c>
      <c r="F331" s="100"/>
      <c r="G331" s="285"/>
      <c r="H331" s="283"/>
      <c r="I331" s="102"/>
      <c r="J331" s="102"/>
      <c r="K331" s="102"/>
      <c r="L331" s="103"/>
      <c r="M331" s="59"/>
      <c r="U331" s="238"/>
      <c r="V331" s="59"/>
    </row>
    <row r="332" spans="1:22" ht="15" customHeight="1" x14ac:dyDescent="0.2">
      <c r="A332" s="95" t="s">
        <v>39</v>
      </c>
      <c r="B332" s="96">
        <v>43106</v>
      </c>
      <c r="C332" s="97">
        <v>42</v>
      </c>
      <c r="D332" s="104">
        <v>637012</v>
      </c>
      <c r="E332" s="119" t="s">
        <v>28</v>
      </c>
      <c r="F332" s="100">
        <v>17.38</v>
      </c>
      <c r="G332" s="285">
        <v>90.09</v>
      </c>
      <c r="H332" s="283">
        <v>178.7</v>
      </c>
      <c r="I332" s="102"/>
      <c r="J332" s="102"/>
      <c r="K332" s="102">
        <v>110.82</v>
      </c>
      <c r="L332" s="103"/>
      <c r="M332" s="59"/>
      <c r="U332" s="238"/>
      <c r="V332" s="59"/>
    </row>
    <row r="333" spans="1:22" ht="15" customHeight="1" x14ac:dyDescent="0.2">
      <c r="A333" s="95" t="s">
        <v>39</v>
      </c>
      <c r="B333" s="96">
        <v>43106</v>
      </c>
      <c r="C333" s="97">
        <v>46</v>
      </c>
      <c r="D333" s="104">
        <v>637012</v>
      </c>
      <c r="E333" s="119" t="s">
        <v>28</v>
      </c>
      <c r="F333" s="100">
        <v>25</v>
      </c>
      <c r="G333" s="285">
        <v>0</v>
      </c>
      <c r="H333" s="283"/>
      <c r="I333" s="102"/>
      <c r="J333" s="102"/>
      <c r="K333" s="102"/>
      <c r="L333" s="103"/>
      <c r="M333" s="59"/>
      <c r="U333" s="238"/>
      <c r="V333" s="59"/>
    </row>
    <row r="334" spans="1:22" ht="15" customHeight="1" x14ac:dyDescent="0.2">
      <c r="A334" s="95" t="s">
        <v>42</v>
      </c>
      <c r="B334" s="118" t="s">
        <v>70</v>
      </c>
      <c r="C334" s="97">
        <v>41</v>
      </c>
      <c r="D334" s="104">
        <v>637012</v>
      </c>
      <c r="E334" s="119" t="s">
        <v>28</v>
      </c>
      <c r="F334" s="100">
        <v>50.48</v>
      </c>
      <c r="G334" s="285">
        <v>33.6</v>
      </c>
      <c r="H334" s="283">
        <v>0</v>
      </c>
      <c r="I334" s="257"/>
      <c r="J334" s="257"/>
      <c r="K334" s="102"/>
      <c r="L334" s="103"/>
      <c r="M334" s="59"/>
      <c r="U334" s="238"/>
      <c r="V334" s="59"/>
    </row>
    <row r="335" spans="1:22" ht="15" customHeight="1" x14ac:dyDescent="0.2">
      <c r="A335" s="95" t="s">
        <v>38</v>
      </c>
      <c r="B335" s="146" t="s">
        <v>174</v>
      </c>
      <c r="C335" s="97">
        <v>41</v>
      </c>
      <c r="D335" s="104">
        <v>637012</v>
      </c>
      <c r="E335" s="119" t="s">
        <v>28</v>
      </c>
      <c r="F335" s="100">
        <v>9.42</v>
      </c>
      <c r="G335" s="285">
        <v>24.4</v>
      </c>
      <c r="H335" s="283"/>
      <c r="I335" s="257"/>
      <c r="J335" s="257"/>
      <c r="K335" s="102"/>
      <c r="L335" s="103"/>
      <c r="M335" s="59"/>
      <c r="U335" s="238"/>
      <c r="V335" s="59"/>
    </row>
    <row r="336" spans="1:22" ht="15" customHeight="1" x14ac:dyDescent="0.2">
      <c r="A336" s="95" t="s">
        <v>41</v>
      </c>
      <c r="B336" s="96">
        <v>43166</v>
      </c>
      <c r="C336" s="97">
        <v>46</v>
      </c>
      <c r="D336" s="104">
        <v>637012</v>
      </c>
      <c r="E336" s="119" t="s">
        <v>28</v>
      </c>
      <c r="F336" s="100">
        <v>14</v>
      </c>
      <c r="G336" s="285">
        <v>0.26</v>
      </c>
      <c r="H336" s="283"/>
      <c r="I336" s="102"/>
      <c r="J336" s="102"/>
      <c r="K336" s="102"/>
      <c r="L336" s="103"/>
      <c r="M336" s="59"/>
      <c r="U336" s="238"/>
      <c r="V336" s="59"/>
    </row>
    <row r="337" spans="1:22" ht="15" customHeight="1" x14ac:dyDescent="0.2">
      <c r="A337" s="95" t="s">
        <v>41</v>
      </c>
      <c r="B337" s="96">
        <v>43166</v>
      </c>
      <c r="C337" s="97">
        <v>42</v>
      </c>
      <c r="D337" s="104">
        <v>637012</v>
      </c>
      <c r="E337" s="119" t="s">
        <v>28</v>
      </c>
      <c r="F337" s="100">
        <v>7.5</v>
      </c>
      <c r="G337" s="285">
        <v>29.98</v>
      </c>
      <c r="H337" s="283"/>
      <c r="I337" s="102"/>
      <c r="J337" s="102">
        <v>0</v>
      </c>
      <c r="K337" s="102">
        <v>126.88</v>
      </c>
      <c r="L337" s="103"/>
      <c r="M337" s="59"/>
      <c r="U337" s="238"/>
      <c r="V337" s="59"/>
    </row>
    <row r="338" spans="1:22" x14ac:dyDescent="0.2">
      <c r="A338" s="62"/>
      <c r="B338" s="118"/>
      <c r="C338" s="97"/>
      <c r="D338" s="104">
        <v>637014</v>
      </c>
      <c r="E338" s="119" t="s">
        <v>29</v>
      </c>
      <c r="F338" s="120">
        <f t="shared" ref="F338" si="135">SUM(F339:F346)</f>
        <v>28513.58</v>
      </c>
      <c r="G338" s="288">
        <f t="shared" ref="G338" si="136">SUM(G339:G346)</f>
        <v>22940.02</v>
      </c>
      <c r="H338" s="288">
        <f t="shared" ref="H338" si="137">SUM(H339:H346)</f>
        <v>5782.1799999999994</v>
      </c>
      <c r="I338" s="102">
        <f>SUM(I339:I346)</f>
        <v>6900</v>
      </c>
      <c r="J338" s="102">
        <f>SUM(J339:J346)</f>
        <v>6900</v>
      </c>
      <c r="K338" s="102">
        <f>SUM(K339:K346)</f>
        <v>0</v>
      </c>
      <c r="L338" s="103"/>
      <c r="M338" s="59"/>
      <c r="U338" s="238"/>
      <c r="V338" s="59"/>
    </row>
    <row r="339" spans="1:22" ht="15" customHeight="1" x14ac:dyDescent="0.2">
      <c r="A339" s="95" t="s">
        <v>39</v>
      </c>
      <c r="B339" s="96">
        <v>43106</v>
      </c>
      <c r="C339" s="97">
        <v>41</v>
      </c>
      <c r="D339" s="104">
        <v>637014</v>
      </c>
      <c r="E339" s="119" t="s">
        <v>29</v>
      </c>
      <c r="F339" s="100">
        <v>2394.6999999999998</v>
      </c>
      <c r="G339" s="285">
        <v>12400.98</v>
      </c>
      <c r="H339" s="283">
        <v>1801.82</v>
      </c>
      <c r="I339" s="257">
        <v>2300</v>
      </c>
      <c r="J339" s="257">
        <v>2300</v>
      </c>
      <c r="K339" s="102"/>
      <c r="L339" s="103"/>
      <c r="M339" s="59"/>
      <c r="U339" s="238"/>
      <c r="V339" s="59"/>
    </row>
    <row r="340" spans="1:22" ht="15" customHeight="1" x14ac:dyDescent="0.2">
      <c r="A340" s="95" t="s">
        <v>39</v>
      </c>
      <c r="B340" s="96">
        <v>43471</v>
      </c>
      <c r="C340" s="97">
        <v>42</v>
      </c>
      <c r="D340" s="104">
        <v>637014</v>
      </c>
      <c r="E340" s="119" t="s">
        <v>29</v>
      </c>
      <c r="F340" s="100">
        <v>0</v>
      </c>
      <c r="G340" s="285">
        <v>194.54</v>
      </c>
      <c r="H340" s="283"/>
      <c r="I340" s="102">
        <f>1000*1.15</f>
        <v>1150</v>
      </c>
      <c r="J340" s="102">
        <f>1000*1.15</f>
        <v>1150</v>
      </c>
      <c r="K340" s="102"/>
      <c r="L340" s="103"/>
      <c r="M340" s="59"/>
      <c r="U340" s="238"/>
      <c r="V340" s="59"/>
    </row>
    <row r="341" spans="1:22" ht="15" customHeight="1" x14ac:dyDescent="0.2">
      <c r="A341" s="95" t="s">
        <v>39</v>
      </c>
      <c r="B341" s="96">
        <v>44202</v>
      </c>
      <c r="C341" s="97">
        <v>46</v>
      </c>
      <c r="D341" s="104">
        <v>637014</v>
      </c>
      <c r="E341" s="119" t="s">
        <v>29</v>
      </c>
      <c r="F341" s="100">
        <v>4372.8100000000004</v>
      </c>
      <c r="G341" s="285">
        <v>2155.9499999999998</v>
      </c>
      <c r="H341" s="283">
        <v>1000</v>
      </c>
      <c r="I341" s="102"/>
      <c r="J341" s="102"/>
      <c r="K341" s="102"/>
      <c r="L341" s="103"/>
      <c r="M341" s="59"/>
      <c r="U341" s="238"/>
      <c r="V341" s="59"/>
    </row>
    <row r="342" spans="1:22" ht="15" customHeight="1" x14ac:dyDescent="0.2">
      <c r="A342" s="95" t="s">
        <v>40</v>
      </c>
      <c r="B342" s="96">
        <v>43354</v>
      </c>
      <c r="C342" s="97">
        <v>41</v>
      </c>
      <c r="D342" s="104">
        <v>637014</v>
      </c>
      <c r="E342" s="119" t="s">
        <v>29</v>
      </c>
      <c r="F342" s="100">
        <v>16983.14</v>
      </c>
      <c r="G342" s="285">
        <v>4440.67</v>
      </c>
      <c r="H342" s="283">
        <v>2965.46</v>
      </c>
      <c r="I342" s="257">
        <f>3000*1.15</f>
        <v>3449.9999999999995</v>
      </c>
      <c r="J342" s="257">
        <f>3000*1.15</f>
        <v>3449.9999999999995</v>
      </c>
      <c r="K342" s="102"/>
      <c r="L342" s="103"/>
      <c r="M342" s="59"/>
      <c r="U342" s="238"/>
      <c r="V342" s="59"/>
    </row>
    <row r="343" spans="1:22" ht="15" customHeight="1" x14ac:dyDescent="0.2">
      <c r="A343" s="95" t="s">
        <v>40</v>
      </c>
      <c r="B343" s="96">
        <v>44450</v>
      </c>
      <c r="C343" s="97">
        <v>42</v>
      </c>
      <c r="D343" s="104">
        <v>637014</v>
      </c>
      <c r="E343" s="119" t="s">
        <v>29</v>
      </c>
      <c r="F343" s="100">
        <v>1803.1</v>
      </c>
      <c r="G343" s="285">
        <v>1509.58</v>
      </c>
      <c r="H343" s="283"/>
      <c r="I343" s="102"/>
      <c r="J343" s="102"/>
      <c r="K343" s="102"/>
      <c r="L343" s="103"/>
      <c r="M343" s="59"/>
      <c r="U343" s="238"/>
      <c r="V343" s="59"/>
    </row>
    <row r="344" spans="1:22" ht="15" customHeight="1" x14ac:dyDescent="0.2">
      <c r="A344" s="95" t="s">
        <v>40</v>
      </c>
      <c r="B344" s="96">
        <v>44450</v>
      </c>
      <c r="C344" s="97">
        <v>46</v>
      </c>
      <c r="D344" s="104">
        <v>637014</v>
      </c>
      <c r="E344" s="119" t="s">
        <v>29</v>
      </c>
      <c r="F344" s="100">
        <v>2959.83</v>
      </c>
      <c r="G344" s="285">
        <v>2238.3000000000002</v>
      </c>
      <c r="H344" s="283">
        <v>14.9</v>
      </c>
      <c r="I344" s="102"/>
      <c r="J344" s="102"/>
      <c r="K344" s="102"/>
      <c r="L344" s="103"/>
      <c r="M344" s="59"/>
      <c r="U344" s="238"/>
      <c r="V344" s="59"/>
    </row>
    <row r="345" spans="1:22" ht="15" customHeight="1" x14ac:dyDescent="0.2">
      <c r="A345" s="109" t="s">
        <v>41</v>
      </c>
      <c r="B345" s="96">
        <v>43166</v>
      </c>
      <c r="C345" s="97">
        <v>41</v>
      </c>
      <c r="D345" s="104">
        <v>637014</v>
      </c>
      <c r="E345" s="119" t="s">
        <v>29</v>
      </c>
      <c r="F345" s="100">
        <v>0</v>
      </c>
      <c r="G345" s="285">
        <v>0</v>
      </c>
      <c r="H345" s="283"/>
      <c r="I345" s="257"/>
      <c r="J345" s="257"/>
      <c r="K345" s="102"/>
      <c r="L345" s="103"/>
      <c r="M345" s="59"/>
      <c r="U345" s="238"/>
      <c r="V345" s="59"/>
    </row>
    <row r="346" spans="1:22" ht="15" customHeight="1" x14ac:dyDescent="0.2">
      <c r="A346" s="109" t="s">
        <v>42</v>
      </c>
      <c r="B346" s="110">
        <v>43354</v>
      </c>
      <c r="C346" s="111">
        <v>41</v>
      </c>
      <c r="D346" s="104">
        <v>637014</v>
      </c>
      <c r="E346" s="119" t="s">
        <v>29</v>
      </c>
      <c r="F346" s="100">
        <v>0</v>
      </c>
      <c r="G346" s="285">
        <v>0</v>
      </c>
      <c r="H346" s="283">
        <v>0</v>
      </c>
      <c r="I346" s="257"/>
      <c r="J346" s="257"/>
      <c r="K346" s="102"/>
      <c r="L346" s="103"/>
      <c r="M346" s="59"/>
      <c r="U346" s="238"/>
      <c r="V346" s="59"/>
    </row>
    <row r="347" spans="1:22" x14ac:dyDescent="0.2">
      <c r="A347" s="109"/>
      <c r="B347" s="110"/>
      <c r="C347" s="111"/>
      <c r="D347" s="104">
        <v>637015</v>
      </c>
      <c r="E347" s="119" t="s">
        <v>61</v>
      </c>
      <c r="F347" s="134">
        <f t="shared" ref="F347" si="138">SUM(F348:F352)</f>
        <v>0</v>
      </c>
      <c r="G347" s="290">
        <f t="shared" ref="G347" si="139">SUM(G348:G351)</f>
        <v>2023.4</v>
      </c>
      <c r="H347" s="290">
        <f t="shared" ref="H347" si="140">SUM(H348:H351)</f>
        <v>0</v>
      </c>
      <c r="I347" s="261">
        <f>SUM(I348:I352)</f>
        <v>0</v>
      </c>
      <c r="J347" s="261">
        <f>SUM(J348:J352)</f>
        <v>0</v>
      </c>
      <c r="K347" s="261">
        <f>SUM(K348:K352)</f>
        <v>0</v>
      </c>
      <c r="L347" s="103"/>
      <c r="M347" s="59"/>
      <c r="U347" s="238"/>
      <c r="V347" s="59"/>
    </row>
    <row r="348" spans="1:22" ht="15" customHeight="1" x14ac:dyDescent="0.2">
      <c r="A348" s="95" t="s">
        <v>41</v>
      </c>
      <c r="B348" s="110">
        <v>43166</v>
      </c>
      <c r="C348" s="111">
        <v>42</v>
      </c>
      <c r="D348" s="104">
        <v>637015</v>
      </c>
      <c r="E348" s="119" t="s">
        <v>61</v>
      </c>
      <c r="F348" s="100">
        <v>0</v>
      </c>
      <c r="G348" s="285">
        <v>0</v>
      </c>
      <c r="H348" s="283"/>
      <c r="I348" s="229">
        <v>0</v>
      </c>
      <c r="J348" s="229">
        <v>0</v>
      </c>
      <c r="K348" s="229"/>
      <c r="L348" s="103"/>
      <c r="M348" s="59"/>
      <c r="U348" s="238"/>
      <c r="V348" s="59"/>
    </row>
    <row r="349" spans="1:22" ht="15" customHeight="1" x14ac:dyDescent="0.2">
      <c r="A349" s="109" t="s">
        <v>39</v>
      </c>
      <c r="B349" s="110">
        <v>43106</v>
      </c>
      <c r="C349" s="111">
        <v>41</v>
      </c>
      <c r="D349" s="104">
        <v>637015</v>
      </c>
      <c r="E349" s="119" t="s">
        <v>61</v>
      </c>
      <c r="F349" s="100">
        <v>0</v>
      </c>
      <c r="G349" s="285">
        <v>2023.4</v>
      </c>
      <c r="H349" s="283">
        <v>0</v>
      </c>
      <c r="I349" s="257">
        <v>0</v>
      </c>
      <c r="J349" s="257">
        <v>0</v>
      </c>
      <c r="K349" s="229"/>
      <c r="L349" s="103"/>
      <c r="M349" s="59"/>
      <c r="U349" s="238"/>
      <c r="V349" s="59"/>
    </row>
    <row r="350" spans="1:22" ht="15" customHeight="1" x14ac:dyDescent="0.2">
      <c r="A350" s="109" t="s">
        <v>39</v>
      </c>
      <c r="B350" s="110">
        <v>43471</v>
      </c>
      <c r="C350" s="111">
        <v>42</v>
      </c>
      <c r="D350" s="104">
        <v>637015</v>
      </c>
      <c r="E350" s="119" t="s">
        <v>61</v>
      </c>
      <c r="F350" s="100"/>
      <c r="G350" s="285"/>
      <c r="H350" s="283"/>
      <c r="I350" s="229">
        <v>0</v>
      </c>
      <c r="J350" s="229">
        <v>0</v>
      </c>
      <c r="K350" s="229"/>
      <c r="L350" s="103"/>
      <c r="M350" s="59"/>
      <c r="U350" s="238"/>
      <c r="V350" s="59"/>
    </row>
    <row r="351" spans="1:22" ht="15" customHeight="1" x14ac:dyDescent="0.2">
      <c r="A351" s="109" t="s">
        <v>41</v>
      </c>
      <c r="B351" s="110">
        <v>43166</v>
      </c>
      <c r="C351" s="111">
        <v>41</v>
      </c>
      <c r="D351" s="104">
        <v>637015</v>
      </c>
      <c r="E351" s="119" t="s">
        <v>61</v>
      </c>
      <c r="F351" s="100"/>
      <c r="G351" s="285"/>
      <c r="H351" s="283"/>
      <c r="I351" s="257">
        <v>0</v>
      </c>
      <c r="J351" s="257">
        <v>0</v>
      </c>
      <c r="K351" s="229"/>
      <c r="L351" s="103"/>
      <c r="M351" s="59"/>
      <c r="U351" s="238"/>
      <c r="V351" s="59"/>
    </row>
    <row r="352" spans="1:22" ht="15" customHeight="1" x14ac:dyDescent="0.2">
      <c r="A352" s="109" t="s">
        <v>40</v>
      </c>
      <c r="B352" s="110">
        <v>43719</v>
      </c>
      <c r="C352" s="111">
        <v>42</v>
      </c>
      <c r="D352" s="104">
        <v>637015</v>
      </c>
      <c r="E352" s="119" t="s">
        <v>61</v>
      </c>
      <c r="F352" s="100"/>
      <c r="G352" s="290"/>
      <c r="H352" s="290"/>
      <c r="I352" s="229">
        <v>0</v>
      </c>
      <c r="J352" s="229">
        <v>0</v>
      </c>
      <c r="K352" s="229"/>
      <c r="L352" s="103"/>
      <c r="M352" s="59"/>
      <c r="U352" s="238"/>
      <c r="V352" s="59"/>
    </row>
    <row r="353" spans="1:22" x14ac:dyDescent="0.2">
      <c r="A353" s="95"/>
      <c r="B353" s="96"/>
      <c r="C353" s="97"/>
      <c r="D353" s="104">
        <v>637035</v>
      </c>
      <c r="E353" s="119" t="s">
        <v>62</v>
      </c>
      <c r="F353" s="134">
        <f t="shared" ref="F353" si="141">SUM(F354:F363)</f>
        <v>11379.999999999998</v>
      </c>
      <c r="G353" s="290">
        <f t="shared" ref="G353" si="142">SUM(G354:G363)</f>
        <v>11224.29</v>
      </c>
      <c r="H353" s="290">
        <f t="shared" ref="H353" si="143">SUM(H354:H363)</f>
        <v>11230.61</v>
      </c>
      <c r="I353" s="260">
        <f>SUM(I354:I363)</f>
        <v>7251.741</v>
      </c>
      <c r="J353" s="260">
        <f>SUM(J354:J363)</f>
        <v>7251.7309999999998</v>
      </c>
      <c r="K353" s="260">
        <f>SUM(K354:K363)</f>
        <v>33213.21</v>
      </c>
      <c r="L353" s="103"/>
      <c r="M353" s="59"/>
      <c r="U353" s="238"/>
      <c r="V353" s="59"/>
    </row>
    <row r="354" spans="1:22" ht="15" customHeight="1" x14ac:dyDescent="0.2">
      <c r="A354" s="109" t="s">
        <v>39</v>
      </c>
      <c r="B354" s="110">
        <v>43106</v>
      </c>
      <c r="C354" s="111">
        <v>41</v>
      </c>
      <c r="D354" s="104">
        <v>637035</v>
      </c>
      <c r="E354" s="119" t="s">
        <v>62</v>
      </c>
      <c r="F354" s="100">
        <v>1818.37</v>
      </c>
      <c r="G354" s="285">
        <v>2088.54</v>
      </c>
      <c r="H354" s="283">
        <v>3221.88</v>
      </c>
      <c r="I354" s="258">
        <v>2446.88</v>
      </c>
      <c r="J354" s="258">
        <v>2446.87</v>
      </c>
      <c r="K354" s="101">
        <v>12154.41</v>
      </c>
      <c r="L354" s="103"/>
      <c r="M354" s="59"/>
      <c r="U354" s="238"/>
      <c r="V354" s="59"/>
    </row>
    <row r="355" spans="1:22" ht="15" customHeight="1" x14ac:dyDescent="0.2">
      <c r="A355" s="109" t="s">
        <v>40</v>
      </c>
      <c r="B355" s="110">
        <v>43719</v>
      </c>
      <c r="C355" s="111">
        <v>41</v>
      </c>
      <c r="D355" s="104">
        <v>637035</v>
      </c>
      <c r="E355" s="119" t="s">
        <v>62</v>
      </c>
      <c r="F355" s="100">
        <v>1790.66</v>
      </c>
      <c r="G355" s="285">
        <v>140.13999999999999</v>
      </c>
      <c r="H355" s="283"/>
      <c r="I355" s="258"/>
      <c r="J355" s="258"/>
      <c r="K355" s="101"/>
      <c r="L355" s="103"/>
      <c r="M355" s="59"/>
      <c r="U355" s="238"/>
      <c r="V355" s="59"/>
    </row>
    <row r="356" spans="1:22" ht="15" customHeight="1" x14ac:dyDescent="0.2">
      <c r="A356" s="109" t="s">
        <v>40</v>
      </c>
      <c r="B356" s="110">
        <v>43719</v>
      </c>
      <c r="C356" s="111">
        <v>42</v>
      </c>
      <c r="D356" s="104">
        <v>637035</v>
      </c>
      <c r="E356" s="119" t="s">
        <v>62</v>
      </c>
      <c r="F356" s="100"/>
      <c r="G356" s="285">
        <v>7491.07</v>
      </c>
      <c r="H356" s="283"/>
      <c r="I356" s="101"/>
      <c r="J356" s="101"/>
      <c r="K356" s="101"/>
      <c r="L356" s="103"/>
      <c r="M356" s="59"/>
      <c r="U356" s="238"/>
      <c r="V356" s="59"/>
    </row>
    <row r="357" spans="1:22" ht="15" customHeight="1" x14ac:dyDescent="0.2">
      <c r="A357" s="109" t="s">
        <v>40</v>
      </c>
      <c r="B357" s="110">
        <v>43719</v>
      </c>
      <c r="C357" s="111">
        <v>42</v>
      </c>
      <c r="D357" s="104">
        <v>637035</v>
      </c>
      <c r="E357" s="119" t="s">
        <v>62</v>
      </c>
      <c r="F357" s="100">
        <v>7331.63</v>
      </c>
      <c r="G357" s="285">
        <v>0</v>
      </c>
      <c r="H357" s="283">
        <v>8008.73</v>
      </c>
      <c r="I357" s="121">
        <f>4000*1.15</f>
        <v>4600</v>
      </c>
      <c r="J357" s="121">
        <f>4000*1.15</f>
        <v>4600</v>
      </c>
      <c r="K357" s="121">
        <v>21058.799999999999</v>
      </c>
      <c r="L357" s="103"/>
      <c r="M357" s="59"/>
      <c r="U357" s="238"/>
      <c r="V357" s="59"/>
    </row>
    <row r="358" spans="1:22" ht="15" customHeight="1" x14ac:dyDescent="0.2">
      <c r="A358" s="109" t="s">
        <v>40</v>
      </c>
      <c r="B358" s="110">
        <v>43719</v>
      </c>
      <c r="C358" s="111">
        <v>46</v>
      </c>
      <c r="D358" s="104">
        <v>637035</v>
      </c>
      <c r="E358" s="119" t="s">
        <v>62</v>
      </c>
      <c r="F358" s="100"/>
      <c r="G358" s="285">
        <v>841.42</v>
      </c>
      <c r="H358" s="283"/>
      <c r="I358" s="101">
        <f>178.14*1.15</f>
        <v>204.86099999999996</v>
      </c>
      <c r="J358" s="101">
        <f>178.14*1.15</f>
        <v>204.86099999999996</v>
      </c>
      <c r="K358" s="101"/>
      <c r="L358" s="103"/>
      <c r="M358" s="59"/>
      <c r="U358" s="238"/>
      <c r="V358" s="59"/>
    </row>
    <row r="359" spans="1:22" ht="15" customHeight="1" x14ac:dyDescent="0.2">
      <c r="A359" s="109" t="s">
        <v>41</v>
      </c>
      <c r="B359" s="110">
        <v>43531</v>
      </c>
      <c r="C359" s="111">
        <v>41</v>
      </c>
      <c r="D359" s="104">
        <v>637035</v>
      </c>
      <c r="E359" s="119" t="s">
        <v>62</v>
      </c>
      <c r="F359" s="100">
        <v>366.13</v>
      </c>
      <c r="G359" s="285">
        <v>663.12</v>
      </c>
      <c r="H359" s="283"/>
      <c r="I359" s="258"/>
      <c r="J359" s="258"/>
      <c r="K359" s="101"/>
      <c r="L359" s="103"/>
      <c r="M359" s="59"/>
      <c r="U359" s="238"/>
      <c r="V359" s="59"/>
    </row>
    <row r="360" spans="1:22" ht="15" customHeight="1" x14ac:dyDescent="0.2">
      <c r="A360" s="109" t="s">
        <v>41</v>
      </c>
      <c r="B360" s="110">
        <v>43531</v>
      </c>
      <c r="C360" s="111">
        <v>42</v>
      </c>
      <c r="D360" s="104">
        <v>637035</v>
      </c>
      <c r="E360" s="119" t="s">
        <v>62</v>
      </c>
      <c r="F360" s="100"/>
      <c r="G360" s="285"/>
      <c r="H360" s="283"/>
      <c r="I360" s="101"/>
      <c r="J360" s="101"/>
      <c r="K360" s="101"/>
      <c r="L360" s="103"/>
      <c r="M360" s="59"/>
      <c r="U360" s="238"/>
      <c r="V360" s="59"/>
    </row>
    <row r="361" spans="1:22" ht="15" customHeight="1" x14ac:dyDescent="0.2">
      <c r="A361" s="109" t="s">
        <v>39</v>
      </c>
      <c r="B361" s="110">
        <v>43471</v>
      </c>
      <c r="C361" s="111">
        <v>46</v>
      </c>
      <c r="D361" s="104">
        <v>637035</v>
      </c>
      <c r="E361" s="119" t="s">
        <v>62</v>
      </c>
      <c r="F361" s="100">
        <v>73.209999999999994</v>
      </c>
      <c r="G361" s="285"/>
      <c r="H361" s="283"/>
      <c r="I361" s="101"/>
      <c r="J361" s="101"/>
      <c r="K361" s="101"/>
      <c r="L361" s="103"/>
      <c r="M361" s="59"/>
      <c r="U361" s="238"/>
      <c r="V361" s="59"/>
    </row>
    <row r="362" spans="1:22" ht="15" customHeight="1" x14ac:dyDescent="0.2">
      <c r="A362" s="109" t="s">
        <v>39</v>
      </c>
      <c r="B362" s="110">
        <v>44202</v>
      </c>
      <c r="C362" s="111">
        <v>41</v>
      </c>
      <c r="D362" s="104">
        <v>637035</v>
      </c>
      <c r="E362" s="119" t="s">
        <v>62</v>
      </c>
      <c r="F362" s="100"/>
      <c r="G362" s="285">
        <v>0</v>
      </c>
      <c r="H362" s="283"/>
      <c r="I362" s="258"/>
      <c r="J362" s="258"/>
      <c r="K362" s="101"/>
      <c r="L362" s="103"/>
      <c r="M362" s="59"/>
      <c r="U362" s="238"/>
      <c r="V362" s="59"/>
    </row>
    <row r="363" spans="1:22" ht="15" customHeight="1" x14ac:dyDescent="0.2">
      <c r="A363" s="109" t="s">
        <v>39</v>
      </c>
      <c r="B363" s="110">
        <v>43471</v>
      </c>
      <c r="C363" s="111">
        <v>42</v>
      </c>
      <c r="D363" s="104">
        <v>637035</v>
      </c>
      <c r="E363" s="119" t="s">
        <v>62</v>
      </c>
      <c r="F363" s="100">
        <v>0</v>
      </c>
      <c r="G363" s="290"/>
      <c r="H363" s="283"/>
      <c r="I363" s="101">
        <v>0</v>
      </c>
      <c r="J363" s="101">
        <v>0</v>
      </c>
      <c r="K363" s="101"/>
      <c r="L363" s="103"/>
      <c r="M363" s="59"/>
      <c r="U363" s="238"/>
      <c r="V363" s="59"/>
    </row>
    <row r="364" spans="1:22" x14ac:dyDescent="0.2">
      <c r="A364" s="62"/>
      <c r="B364" s="118"/>
      <c r="C364" s="97"/>
      <c r="D364" s="104">
        <v>637016</v>
      </c>
      <c r="E364" s="119" t="s">
        <v>30</v>
      </c>
      <c r="F364" s="134">
        <f t="shared" ref="F364" si="144">SUM(F365:F372)</f>
        <v>7397.17</v>
      </c>
      <c r="G364" s="290">
        <f t="shared" ref="G364" si="145">SUM(G365:G372)</f>
        <v>8162.1999999999989</v>
      </c>
      <c r="H364" s="290">
        <f t="shared" ref="H364" si="146">SUM(H365:H372)</f>
        <v>6739.5999999999995</v>
      </c>
      <c r="I364" s="260">
        <f>SUM(I365:I372)</f>
        <v>9584.3374999999996</v>
      </c>
      <c r="J364" s="260">
        <f>SUM(J365:J372)</f>
        <v>9584.3374999999996</v>
      </c>
      <c r="K364" s="260">
        <f>SUM(K365:K372)</f>
        <v>10149.810000000001</v>
      </c>
      <c r="L364" s="103"/>
      <c r="M364" s="59"/>
      <c r="U364" s="238"/>
      <c r="V364" s="59"/>
    </row>
    <row r="365" spans="1:22" ht="15" customHeight="1" x14ac:dyDescent="0.2">
      <c r="A365" s="109" t="s">
        <v>39</v>
      </c>
      <c r="B365" s="110">
        <v>43106</v>
      </c>
      <c r="C365" s="111">
        <v>41</v>
      </c>
      <c r="D365" s="104">
        <v>637016</v>
      </c>
      <c r="E365" s="119" t="s">
        <v>30</v>
      </c>
      <c r="F365" s="100">
        <v>4075.93</v>
      </c>
      <c r="G365" s="285">
        <v>4123.7299999999996</v>
      </c>
      <c r="H365" s="283">
        <v>3335.46</v>
      </c>
      <c r="I365" s="258">
        <v>5913.95</v>
      </c>
      <c r="J365" s="258">
        <v>5913.95</v>
      </c>
      <c r="K365" s="101">
        <v>4719.76</v>
      </c>
      <c r="L365" s="103"/>
      <c r="M365" s="59"/>
      <c r="U365" s="238"/>
      <c r="V365" s="59"/>
    </row>
    <row r="366" spans="1:22" ht="15" customHeight="1" x14ac:dyDescent="0.2">
      <c r="A366" s="109" t="s">
        <v>38</v>
      </c>
      <c r="B366" s="110">
        <v>43589</v>
      </c>
      <c r="C366" s="111">
        <v>41</v>
      </c>
      <c r="D366" s="104">
        <v>637016</v>
      </c>
      <c r="E366" s="119" t="s">
        <v>30</v>
      </c>
      <c r="F366" s="100">
        <v>118.72</v>
      </c>
      <c r="G366" s="285">
        <v>125.02</v>
      </c>
      <c r="H366" s="283">
        <v>111.06</v>
      </c>
      <c r="I366" s="258">
        <v>0</v>
      </c>
      <c r="J366" s="258">
        <v>0</v>
      </c>
      <c r="K366" s="101">
        <v>158.83000000000001</v>
      </c>
      <c r="L366" s="103"/>
      <c r="M366" s="59"/>
      <c r="U366" s="238"/>
      <c r="V366" s="59"/>
    </row>
    <row r="367" spans="1:22" ht="15" customHeight="1" x14ac:dyDescent="0.2">
      <c r="A367" s="109" t="s">
        <v>40</v>
      </c>
      <c r="B367" s="147" t="s">
        <v>72</v>
      </c>
      <c r="C367" s="111">
        <v>41</v>
      </c>
      <c r="D367" s="104">
        <v>637016</v>
      </c>
      <c r="E367" s="119" t="s">
        <v>30</v>
      </c>
      <c r="F367" s="100">
        <v>2018.6</v>
      </c>
      <c r="G367" s="285">
        <v>2310.73</v>
      </c>
      <c r="H367" s="283">
        <v>2059.6</v>
      </c>
      <c r="I367" s="258">
        <v>1974.19</v>
      </c>
      <c r="J367" s="258">
        <v>1974.19</v>
      </c>
      <c r="K367" s="101">
        <v>3199.03</v>
      </c>
      <c r="L367" s="103"/>
      <c r="M367" s="59"/>
      <c r="U367" s="238"/>
      <c r="V367" s="59"/>
    </row>
    <row r="368" spans="1:22" ht="15" customHeight="1" x14ac:dyDescent="0.2">
      <c r="A368" s="109" t="s">
        <v>40</v>
      </c>
      <c r="B368" s="147" t="s">
        <v>72</v>
      </c>
      <c r="C368" s="111">
        <v>46</v>
      </c>
      <c r="D368" s="104">
        <v>637016</v>
      </c>
      <c r="E368" s="119" t="s">
        <v>30</v>
      </c>
      <c r="F368" s="100"/>
      <c r="G368" s="285">
        <v>196.36</v>
      </c>
      <c r="H368" s="283"/>
      <c r="I368" s="101"/>
      <c r="J368" s="101"/>
      <c r="K368" s="101"/>
      <c r="L368" s="103"/>
      <c r="M368" s="59"/>
      <c r="U368" s="238"/>
      <c r="V368" s="59"/>
    </row>
    <row r="369" spans="1:22" ht="15" customHeight="1" x14ac:dyDescent="0.2">
      <c r="A369" s="109" t="s">
        <v>42</v>
      </c>
      <c r="B369" s="110">
        <v>43354</v>
      </c>
      <c r="C369" s="111">
        <v>41</v>
      </c>
      <c r="D369" s="104">
        <v>637016</v>
      </c>
      <c r="E369" s="119" t="s">
        <v>30</v>
      </c>
      <c r="F369" s="100">
        <v>68.040000000000006</v>
      </c>
      <c r="G369" s="285">
        <v>71.78</v>
      </c>
      <c r="H369" s="283">
        <v>59.45</v>
      </c>
      <c r="I369" s="258">
        <f>(I16*0.015)*1.15</f>
        <v>83.317499999999995</v>
      </c>
      <c r="J369" s="258">
        <f>(J16*0.015)*1.15</f>
        <v>83.317499999999995</v>
      </c>
      <c r="K369" s="101">
        <v>94.31</v>
      </c>
      <c r="L369" s="103"/>
      <c r="M369" s="59"/>
      <c r="U369" s="238"/>
      <c r="V369" s="59"/>
    </row>
    <row r="370" spans="1:22" ht="15" customHeight="1" x14ac:dyDescent="0.2">
      <c r="A370" s="109" t="s">
        <v>41</v>
      </c>
      <c r="B370" s="110">
        <v>43166</v>
      </c>
      <c r="C370" s="111">
        <v>41</v>
      </c>
      <c r="D370" s="104">
        <v>637016</v>
      </c>
      <c r="E370" s="119" t="s">
        <v>30</v>
      </c>
      <c r="F370" s="100">
        <v>1115.8800000000001</v>
      </c>
      <c r="G370" s="285">
        <v>1334.58</v>
      </c>
      <c r="H370" s="283">
        <v>1174.03</v>
      </c>
      <c r="I370" s="258">
        <v>1612.88</v>
      </c>
      <c r="J370" s="258">
        <v>1612.88</v>
      </c>
      <c r="K370" s="101">
        <v>1657.73</v>
      </c>
      <c r="L370" s="103"/>
      <c r="M370" s="59"/>
      <c r="U370" s="238"/>
      <c r="V370" s="59"/>
    </row>
    <row r="371" spans="1:22" ht="15" customHeight="1" x14ac:dyDescent="0.2">
      <c r="A371" s="95" t="s">
        <v>39</v>
      </c>
      <c r="B371" s="96">
        <v>43106</v>
      </c>
      <c r="C371" s="97">
        <v>42</v>
      </c>
      <c r="D371" s="104">
        <v>637016</v>
      </c>
      <c r="E371" s="119" t="s">
        <v>30</v>
      </c>
      <c r="F371" s="100">
        <v>0</v>
      </c>
      <c r="G371" s="285">
        <v>0</v>
      </c>
      <c r="H371" s="283"/>
      <c r="I371" s="101"/>
      <c r="J371" s="101"/>
      <c r="K371" s="101"/>
      <c r="L371" s="103"/>
      <c r="M371" s="59"/>
      <c r="U371" s="238"/>
      <c r="V371" s="59"/>
    </row>
    <row r="372" spans="1:22" ht="15" customHeight="1" x14ac:dyDescent="0.2">
      <c r="A372" s="95" t="s">
        <v>39</v>
      </c>
      <c r="B372" s="96">
        <v>43106</v>
      </c>
      <c r="C372" s="97">
        <v>46</v>
      </c>
      <c r="D372" s="104">
        <v>637016</v>
      </c>
      <c r="E372" s="119" t="s">
        <v>30</v>
      </c>
      <c r="F372" s="100">
        <v>0</v>
      </c>
      <c r="G372" s="285">
        <f t="shared" ref="G372" si="147">SUM(G373:G376)</f>
        <v>0</v>
      </c>
      <c r="H372" s="283"/>
      <c r="I372" s="101"/>
      <c r="J372" s="101"/>
      <c r="K372" s="101">
        <v>320.14999999999998</v>
      </c>
      <c r="L372" s="103"/>
      <c r="M372" s="59"/>
      <c r="U372" s="238"/>
      <c r="V372" s="59"/>
    </row>
    <row r="373" spans="1:22" x14ac:dyDescent="0.2">
      <c r="A373" s="62"/>
      <c r="B373" s="118"/>
      <c r="C373" s="97"/>
      <c r="D373" s="104">
        <v>637027</v>
      </c>
      <c r="E373" s="119" t="s">
        <v>32</v>
      </c>
      <c r="F373" s="100">
        <f t="shared" ref="F373" si="148">SUM(F374:F377)</f>
        <v>0</v>
      </c>
      <c r="G373" s="285">
        <v>0</v>
      </c>
      <c r="H373" s="285">
        <f t="shared" ref="H373" si="149">SUM(H374:H377)</f>
        <v>0</v>
      </c>
      <c r="I373" s="229">
        <f>SUM(I374:I377)</f>
        <v>0</v>
      </c>
      <c r="J373" s="229">
        <f>SUM(J374:J377)</f>
        <v>0</v>
      </c>
      <c r="K373" s="229">
        <f>SUM(K374:K377)</f>
        <v>0</v>
      </c>
      <c r="L373" s="103"/>
      <c r="M373" s="59"/>
      <c r="U373" s="238"/>
      <c r="V373" s="59"/>
    </row>
    <row r="374" spans="1:22" ht="15" customHeight="1" x14ac:dyDescent="0.2">
      <c r="A374" s="95" t="s">
        <v>40</v>
      </c>
      <c r="B374" s="118" t="s">
        <v>72</v>
      </c>
      <c r="C374" s="97">
        <v>41</v>
      </c>
      <c r="D374" s="104">
        <v>637027</v>
      </c>
      <c r="E374" s="119" t="s">
        <v>32</v>
      </c>
      <c r="F374" s="100">
        <v>0</v>
      </c>
      <c r="G374" s="285">
        <v>0</v>
      </c>
      <c r="H374" s="283"/>
      <c r="I374" s="257">
        <v>0</v>
      </c>
      <c r="J374" s="257">
        <v>0</v>
      </c>
      <c r="K374" s="229"/>
      <c r="L374" s="103"/>
      <c r="M374" s="59"/>
      <c r="U374" s="238"/>
      <c r="V374" s="59"/>
    </row>
    <row r="375" spans="1:22" ht="15" customHeight="1" x14ac:dyDescent="0.2">
      <c r="A375" s="95" t="s">
        <v>41</v>
      </c>
      <c r="B375" s="96">
        <v>43166</v>
      </c>
      <c r="C375" s="97">
        <v>41</v>
      </c>
      <c r="D375" s="104">
        <v>637027</v>
      </c>
      <c r="E375" s="119" t="s">
        <v>32</v>
      </c>
      <c r="F375" s="100">
        <v>0</v>
      </c>
      <c r="G375" s="285"/>
      <c r="H375" s="283">
        <v>0</v>
      </c>
      <c r="I375" s="257">
        <v>0</v>
      </c>
      <c r="J375" s="257">
        <v>0</v>
      </c>
      <c r="K375" s="229"/>
      <c r="L375" s="103"/>
      <c r="M375" s="59"/>
      <c r="U375" s="238"/>
      <c r="V375" s="59"/>
    </row>
    <row r="376" spans="1:22" ht="15" customHeight="1" x14ac:dyDescent="0.2">
      <c r="A376" s="95" t="s">
        <v>39</v>
      </c>
      <c r="B376" s="96">
        <v>43106</v>
      </c>
      <c r="C376" s="97">
        <v>42</v>
      </c>
      <c r="D376" s="104">
        <v>637027</v>
      </c>
      <c r="E376" s="119" t="s">
        <v>32</v>
      </c>
      <c r="F376" s="100"/>
      <c r="G376" s="285">
        <v>0</v>
      </c>
      <c r="H376" s="283"/>
      <c r="I376" s="229">
        <v>0</v>
      </c>
      <c r="J376" s="229">
        <v>0</v>
      </c>
      <c r="K376" s="229"/>
      <c r="L376" s="103"/>
      <c r="M376" s="59"/>
      <c r="U376" s="238"/>
      <c r="V376" s="59"/>
    </row>
    <row r="377" spans="1:22" ht="15" customHeight="1" x14ac:dyDescent="0.2">
      <c r="A377" s="95" t="s">
        <v>39</v>
      </c>
      <c r="B377" s="96">
        <v>43106</v>
      </c>
      <c r="C377" s="97">
        <v>41</v>
      </c>
      <c r="D377" s="104">
        <v>637027</v>
      </c>
      <c r="E377" s="119" t="s">
        <v>32</v>
      </c>
      <c r="F377" s="100">
        <v>0</v>
      </c>
      <c r="G377" s="290">
        <f t="shared" ref="G377" si="150">SUM(G378:G379)</f>
        <v>0</v>
      </c>
      <c r="H377" s="283">
        <v>0</v>
      </c>
      <c r="I377" s="257">
        <v>0</v>
      </c>
      <c r="J377" s="257">
        <v>0</v>
      </c>
      <c r="K377" s="229"/>
      <c r="L377" s="103"/>
      <c r="M377" s="59"/>
      <c r="U377" s="238"/>
      <c r="V377" s="59"/>
    </row>
    <row r="378" spans="1:22" x14ac:dyDescent="0.2">
      <c r="A378" s="129"/>
      <c r="B378" s="96"/>
      <c r="C378" s="97"/>
      <c r="D378" s="104">
        <v>637029</v>
      </c>
      <c r="E378" s="119" t="s">
        <v>109</v>
      </c>
      <c r="F378" s="134">
        <f t="shared" ref="F378" si="151">SUM(F379:F380)</f>
        <v>0</v>
      </c>
      <c r="G378" s="285"/>
      <c r="H378" s="290">
        <f t="shared" ref="H378" si="152">SUM(H379:H380)</f>
        <v>0</v>
      </c>
      <c r="I378" s="229">
        <f>SUM(I379:I380)</f>
        <v>0</v>
      </c>
      <c r="J378" s="229">
        <f>SUM(J379:J380)</f>
        <v>0</v>
      </c>
      <c r="K378" s="229"/>
      <c r="L378" s="103"/>
      <c r="M378" s="59"/>
      <c r="U378" s="238"/>
      <c r="V378" s="59"/>
    </row>
    <row r="379" spans="1:22" ht="15" customHeight="1" x14ac:dyDescent="0.2">
      <c r="A379" s="129" t="s">
        <v>41</v>
      </c>
      <c r="B379" s="96">
        <v>43531</v>
      </c>
      <c r="C379" s="97">
        <v>41</v>
      </c>
      <c r="D379" s="104">
        <v>637029</v>
      </c>
      <c r="E379" s="119" t="s">
        <v>109</v>
      </c>
      <c r="F379" s="100"/>
      <c r="G379" s="285"/>
      <c r="H379" s="283"/>
      <c r="I379" s="257">
        <v>0</v>
      </c>
      <c r="J379" s="257">
        <v>0</v>
      </c>
      <c r="K379" s="229"/>
      <c r="L379" s="103"/>
      <c r="M379" s="59"/>
      <c r="U379" s="238"/>
      <c r="V379" s="59"/>
    </row>
    <row r="380" spans="1:22" ht="15" customHeight="1" x14ac:dyDescent="0.2">
      <c r="A380" s="109" t="s">
        <v>40</v>
      </c>
      <c r="B380" s="147" t="s">
        <v>72</v>
      </c>
      <c r="C380" s="111">
        <v>41</v>
      </c>
      <c r="D380" s="104">
        <v>637029</v>
      </c>
      <c r="E380" s="119" t="s">
        <v>109</v>
      </c>
      <c r="F380" s="100"/>
      <c r="G380" s="290"/>
      <c r="H380" s="283"/>
      <c r="I380" s="257">
        <v>0</v>
      </c>
      <c r="J380" s="257">
        <v>0</v>
      </c>
      <c r="K380" s="229"/>
      <c r="L380" s="103"/>
      <c r="M380" s="59"/>
      <c r="U380" s="238"/>
      <c r="V380" s="59"/>
    </row>
    <row r="381" spans="1:22" x14ac:dyDescent="0.2">
      <c r="A381" s="129"/>
      <c r="B381" s="96"/>
      <c r="C381" s="97"/>
      <c r="D381" s="104">
        <v>637031</v>
      </c>
      <c r="E381" s="119" t="s">
        <v>111</v>
      </c>
      <c r="F381" s="134">
        <f t="shared" ref="F381" si="153">SUM(F382:F384)</f>
        <v>2000</v>
      </c>
      <c r="G381" s="290">
        <f t="shared" ref="G381" si="154">SUM(G382:G383)</f>
        <v>90</v>
      </c>
      <c r="H381" s="290">
        <f t="shared" ref="H381" si="155">SUM(H382:H383)</f>
        <v>1246.48</v>
      </c>
      <c r="I381" s="100">
        <f>SUM(I382:I384)</f>
        <v>1380</v>
      </c>
      <c r="J381" s="100">
        <f>SUM(J382:J384)</f>
        <v>1380</v>
      </c>
      <c r="K381" s="100">
        <f>SUM(K382:K384)</f>
        <v>833.9</v>
      </c>
      <c r="L381" s="103"/>
      <c r="M381" s="59"/>
      <c r="U381" s="238"/>
      <c r="V381" s="59"/>
    </row>
    <row r="382" spans="1:22" ht="15" customHeight="1" x14ac:dyDescent="0.2">
      <c r="A382" s="129" t="s">
        <v>39</v>
      </c>
      <c r="B382" s="96">
        <v>43471</v>
      </c>
      <c r="C382" s="97">
        <v>41</v>
      </c>
      <c r="D382" s="104">
        <v>637031</v>
      </c>
      <c r="E382" s="119" t="s">
        <v>111</v>
      </c>
      <c r="F382" s="100">
        <v>2000</v>
      </c>
      <c r="G382" s="285">
        <v>90</v>
      </c>
      <c r="H382" s="283">
        <v>1246.48</v>
      </c>
      <c r="I382" s="257">
        <v>1380</v>
      </c>
      <c r="J382" s="257">
        <v>1380</v>
      </c>
      <c r="K382" s="102">
        <v>833.9</v>
      </c>
      <c r="L382" s="103"/>
      <c r="M382" s="59"/>
      <c r="U382" s="238"/>
      <c r="V382" s="59"/>
    </row>
    <row r="383" spans="1:22" ht="15" customHeight="1" x14ac:dyDescent="0.2">
      <c r="A383" s="129" t="s">
        <v>41</v>
      </c>
      <c r="B383" s="96">
        <v>44627</v>
      </c>
      <c r="C383" s="97">
        <v>41</v>
      </c>
      <c r="D383" s="104">
        <v>637031</v>
      </c>
      <c r="E383" s="119" t="s">
        <v>111</v>
      </c>
      <c r="F383" s="100"/>
      <c r="G383" s="100"/>
      <c r="H383" s="283"/>
      <c r="I383" s="257"/>
      <c r="J383" s="257"/>
      <c r="K383" s="102"/>
      <c r="L383" s="103"/>
      <c r="M383" s="59"/>
      <c r="U383" s="238"/>
      <c r="V383" s="59"/>
    </row>
    <row r="384" spans="1:22" ht="15" customHeight="1" x14ac:dyDescent="0.2">
      <c r="A384" s="109" t="s">
        <v>40</v>
      </c>
      <c r="B384" s="147" t="s">
        <v>72</v>
      </c>
      <c r="C384" s="111">
        <v>42</v>
      </c>
      <c r="D384" s="104">
        <v>637031</v>
      </c>
      <c r="E384" s="119" t="s">
        <v>111</v>
      </c>
      <c r="F384" s="100"/>
      <c r="G384" s="100"/>
      <c r="H384" s="101"/>
      <c r="I384" s="102"/>
      <c r="J384" s="102"/>
      <c r="K384" s="102"/>
      <c r="L384" s="103"/>
      <c r="M384" s="59"/>
      <c r="U384" s="238"/>
      <c r="V384" s="59"/>
    </row>
    <row r="385" spans="1:22" x14ac:dyDescent="0.2">
      <c r="A385" s="88"/>
      <c r="B385" s="89"/>
      <c r="C385" s="90"/>
      <c r="D385" s="105">
        <v>64</v>
      </c>
      <c r="E385" s="106" t="s">
        <v>33</v>
      </c>
      <c r="F385" s="135">
        <f t="shared" ref="F385:I385" si="156">F386+F391</f>
        <v>4309.93</v>
      </c>
      <c r="G385" s="135">
        <f t="shared" si="156"/>
        <v>297.13</v>
      </c>
      <c r="H385" s="135">
        <f t="shared" si="156"/>
        <v>0</v>
      </c>
      <c r="I385" s="117">
        <f t="shared" si="156"/>
        <v>3105</v>
      </c>
      <c r="J385" s="117">
        <f t="shared" ref="J385" si="157">J386+J391</f>
        <v>3105</v>
      </c>
      <c r="K385" s="226">
        <f t="shared" ref="K385" si="158">K386+K391</f>
        <v>0</v>
      </c>
      <c r="L385" s="103"/>
      <c r="M385" s="59"/>
      <c r="U385" s="238"/>
      <c r="V385" s="59"/>
    </row>
    <row r="386" spans="1:22" x14ac:dyDescent="0.2">
      <c r="A386" s="62"/>
      <c r="B386" s="118"/>
      <c r="C386" s="97"/>
      <c r="D386" s="104">
        <v>642012</v>
      </c>
      <c r="E386" s="119" t="s">
        <v>31</v>
      </c>
      <c r="F386" s="100">
        <f t="shared" ref="F386:G386" si="159">SUM(F387:F390)</f>
        <v>0</v>
      </c>
      <c r="G386" s="285">
        <f t="shared" si="159"/>
        <v>0</v>
      </c>
      <c r="H386" s="100">
        <v>0</v>
      </c>
      <c r="I386" s="102">
        <f t="shared" ref="I386" si="160">SUM(I387:I390)</f>
        <v>1380</v>
      </c>
      <c r="J386" s="102">
        <f t="shared" ref="J386:K386" si="161">SUM(J387:J390)</f>
        <v>1380</v>
      </c>
      <c r="K386" s="102">
        <f t="shared" si="161"/>
        <v>0</v>
      </c>
      <c r="L386" s="94"/>
      <c r="M386" s="59"/>
      <c r="U386" s="238"/>
      <c r="V386" s="59"/>
    </row>
    <row r="387" spans="1:22" ht="15" customHeight="1" x14ac:dyDescent="0.2">
      <c r="A387" s="95" t="s">
        <v>39</v>
      </c>
      <c r="B387" s="96">
        <v>43106</v>
      </c>
      <c r="C387" s="97">
        <v>41</v>
      </c>
      <c r="D387" s="104">
        <v>642012</v>
      </c>
      <c r="E387" s="119" t="s">
        <v>31</v>
      </c>
      <c r="F387" s="100">
        <v>0</v>
      </c>
      <c r="G387" s="285"/>
      <c r="H387" s="101">
        <v>0</v>
      </c>
      <c r="I387" s="257"/>
      <c r="J387" s="257"/>
      <c r="K387" s="102"/>
      <c r="L387" s="103"/>
      <c r="M387" s="59"/>
      <c r="U387" s="238"/>
      <c r="V387" s="59"/>
    </row>
    <row r="388" spans="1:22" ht="15" customHeight="1" x14ac:dyDescent="0.2">
      <c r="A388" s="95" t="s">
        <v>40</v>
      </c>
      <c r="B388" s="96">
        <v>43354</v>
      </c>
      <c r="C388" s="97">
        <v>41</v>
      </c>
      <c r="D388" s="104">
        <v>642012</v>
      </c>
      <c r="E388" s="119" t="s">
        <v>31</v>
      </c>
      <c r="F388" s="100">
        <v>0</v>
      </c>
      <c r="G388" s="285"/>
      <c r="H388" s="101">
        <v>0</v>
      </c>
      <c r="I388" s="257">
        <f>1200*1.15</f>
        <v>1380</v>
      </c>
      <c r="J388" s="257">
        <f>1200*1.15</f>
        <v>1380</v>
      </c>
      <c r="K388" s="102"/>
      <c r="L388" s="103"/>
      <c r="M388" s="59"/>
      <c r="U388" s="238"/>
      <c r="V388" s="59"/>
    </row>
    <row r="389" spans="1:22" ht="15" customHeight="1" x14ac:dyDescent="0.2">
      <c r="A389" s="95" t="s">
        <v>41</v>
      </c>
      <c r="B389" s="96">
        <v>43166</v>
      </c>
      <c r="C389" s="97">
        <v>41</v>
      </c>
      <c r="D389" s="104">
        <v>642012</v>
      </c>
      <c r="E389" s="119" t="s">
        <v>31</v>
      </c>
      <c r="F389" s="100">
        <v>0</v>
      </c>
      <c r="G389" s="285">
        <v>0</v>
      </c>
      <c r="H389" s="101"/>
      <c r="I389" s="257"/>
      <c r="J389" s="257"/>
      <c r="K389" s="102"/>
      <c r="L389" s="103"/>
      <c r="M389" s="59"/>
      <c r="U389" s="238"/>
      <c r="V389" s="59"/>
    </row>
    <row r="390" spans="1:22" ht="15" customHeight="1" x14ac:dyDescent="0.2">
      <c r="A390" s="95" t="s">
        <v>41</v>
      </c>
      <c r="B390" s="96">
        <v>43354</v>
      </c>
      <c r="C390" s="97">
        <v>41</v>
      </c>
      <c r="D390" s="104">
        <v>642012</v>
      </c>
      <c r="E390" s="119" t="s">
        <v>31</v>
      </c>
      <c r="F390" s="100">
        <v>0</v>
      </c>
      <c r="G390" s="285">
        <v>0</v>
      </c>
      <c r="H390" s="101"/>
      <c r="I390" s="257"/>
      <c r="J390" s="257"/>
      <c r="K390" s="102"/>
      <c r="L390" s="103"/>
      <c r="M390" s="59"/>
      <c r="U390" s="238"/>
      <c r="V390" s="59"/>
    </row>
    <row r="391" spans="1:22" x14ac:dyDescent="0.2">
      <c r="A391" s="62"/>
      <c r="B391" s="118"/>
      <c r="C391" s="97"/>
      <c r="D391" s="104">
        <v>642015</v>
      </c>
      <c r="E391" s="119" t="s">
        <v>34</v>
      </c>
      <c r="F391" s="120">
        <f t="shared" ref="F391:G391" si="162">SUM(F392:F394)</f>
        <v>4309.93</v>
      </c>
      <c r="G391" s="288">
        <f t="shared" si="162"/>
        <v>297.13</v>
      </c>
      <c r="H391" s="120">
        <v>0</v>
      </c>
      <c r="I391" s="114">
        <f t="shared" ref="I391" si="163">SUM(I392:I394)</f>
        <v>1725</v>
      </c>
      <c r="J391" s="114">
        <f t="shared" ref="J391:K391" si="164">SUM(J392:J394)</f>
        <v>1725</v>
      </c>
      <c r="K391" s="114">
        <f t="shared" si="164"/>
        <v>0</v>
      </c>
      <c r="L391" s="103"/>
      <c r="M391" s="59"/>
      <c r="U391" s="238"/>
      <c r="V391" s="59"/>
    </row>
    <row r="392" spans="1:22" ht="15" customHeight="1" x14ac:dyDescent="0.2">
      <c r="A392" s="95" t="s">
        <v>40</v>
      </c>
      <c r="B392" s="96">
        <v>43354</v>
      </c>
      <c r="C392" s="97">
        <v>41</v>
      </c>
      <c r="D392" s="104">
        <v>642015</v>
      </c>
      <c r="E392" s="119" t="s">
        <v>34</v>
      </c>
      <c r="F392" s="100">
        <v>1165.8599999999999</v>
      </c>
      <c r="G392" s="285">
        <v>297.13</v>
      </c>
      <c r="H392" s="101">
        <v>0</v>
      </c>
      <c r="I392" s="257"/>
      <c r="J392" s="257"/>
      <c r="K392" s="102"/>
      <c r="L392" s="103"/>
      <c r="M392" s="59"/>
      <c r="U392" s="238"/>
      <c r="V392" s="59"/>
    </row>
    <row r="393" spans="1:22" ht="15" customHeight="1" x14ac:dyDescent="0.2">
      <c r="A393" s="95" t="s">
        <v>41</v>
      </c>
      <c r="B393" s="96">
        <v>44262</v>
      </c>
      <c r="C393" s="97">
        <v>41</v>
      </c>
      <c r="D393" s="104">
        <v>642015</v>
      </c>
      <c r="E393" s="119" t="s">
        <v>34</v>
      </c>
      <c r="F393" s="100">
        <v>349.11</v>
      </c>
      <c r="G393" s="285"/>
      <c r="H393" s="101"/>
      <c r="I393" s="257"/>
      <c r="J393" s="257"/>
      <c r="K393" s="102"/>
      <c r="L393" s="103"/>
      <c r="M393" s="59"/>
      <c r="U393" s="238"/>
      <c r="V393" s="59"/>
    </row>
    <row r="394" spans="1:22" ht="15" customHeight="1" x14ac:dyDescent="0.2">
      <c r="A394" s="95" t="s">
        <v>39</v>
      </c>
      <c r="B394" s="96">
        <v>43106</v>
      </c>
      <c r="C394" s="97">
        <v>41</v>
      </c>
      <c r="D394" s="104">
        <v>642015</v>
      </c>
      <c r="E394" s="119" t="s">
        <v>34</v>
      </c>
      <c r="F394" s="100">
        <v>2794.96</v>
      </c>
      <c r="G394" s="285">
        <v>0</v>
      </c>
      <c r="H394" s="101">
        <v>0</v>
      </c>
      <c r="I394" s="257">
        <v>1725</v>
      </c>
      <c r="J394" s="257">
        <v>1725</v>
      </c>
      <c r="K394" s="102"/>
      <c r="L394" s="103"/>
      <c r="M394" s="59"/>
      <c r="U394" s="238"/>
      <c r="V394" s="59"/>
    </row>
    <row r="395" spans="1:22" x14ac:dyDescent="0.2">
      <c r="A395" s="88"/>
      <c r="B395" s="89"/>
      <c r="C395" s="90"/>
      <c r="D395" s="105">
        <v>65</v>
      </c>
      <c r="E395" s="106" t="s">
        <v>74</v>
      </c>
      <c r="F395" s="107">
        <f t="shared" ref="F395:H395" si="165">SUM(F396:F402)</f>
        <v>3590.74</v>
      </c>
      <c r="G395" s="286">
        <f t="shared" si="165"/>
        <v>2734.5</v>
      </c>
      <c r="H395" s="107">
        <f t="shared" si="165"/>
        <v>1945.95</v>
      </c>
      <c r="I395" s="224">
        <f t="shared" ref="I395" si="166">SUM(I396:I402)</f>
        <v>2242.5</v>
      </c>
      <c r="J395" s="224">
        <f t="shared" ref="J395" si="167">SUM(J396:J402)</f>
        <v>2242.5</v>
      </c>
      <c r="K395" s="224">
        <f t="shared" ref="K395" si="168">SUM(K396:K402)</f>
        <v>1141.28</v>
      </c>
      <c r="L395" s="103"/>
      <c r="M395" s="59"/>
      <c r="U395" s="238"/>
      <c r="V395" s="59"/>
    </row>
    <row r="396" spans="1:22" ht="15.75" customHeight="1" x14ac:dyDescent="0.2">
      <c r="A396" s="148" t="s">
        <v>38</v>
      </c>
      <c r="B396" s="149">
        <v>43589</v>
      </c>
      <c r="C396" s="104">
        <v>42</v>
      </c>
      <c r="D396" s="104">
        <v>651004</v>
      </c>
      <c r="E396" s="150" t="s">
        <v>106</v>
      </c>
      <c r="F396" s="100">
        <v>0</v>
      </c>
      <c r="G396" s="285"/>
      <c r="H396" s="283"/>
      <c r="I396" s="102"/>
      <c r="J396" s="102"/>
      <c r="K396" s="102"/>
      <c r="L396" s="94"/>
      <c r="M396" s="59"/>
      <c r="U396" s="238"/>
      <c r="V396" s="59"/>
    </row>
    <row r="397" spans="1:22" ht="15.75" customHeight="1" x14ac:dyDescent="0.2">
      <c r="A397" s="95" t="s">
        <v>40</v>
      </c>
      <c r="B397" s="96">
        <v>43354</v>
      </c>
      <c r="C397" s="97">
        <v>41</v>
      </c>
      <c r="D397" s="104">
        <v>651004</v>
      </c>
      <c r="E397" s="119" t="s">
        <v>192</v>
      </c>
      <c r="F397" s="100">
        <v>0</v>
      </c>
      <c r="G397" s="285">
        <v>406.62</v>
      </c>
      <c r="H397" s="283"/>
      <c r="I397" s="257"/>
      <c r="J397" s="257"/>
      <c r="K397" s="102"/>
      <c r="L397" s="103"/>
      <c r="M397" s="59"/>
      <c r="U397" s="238"/>
      <c r="V397" s="59"/>
    </row>
    <row r="398" spans="1:22" ht="15.75" customHeight="1" x14ac:dyDescent="0.2">
      <c r="A398" s="95" t="s">
        <v>40</v>
      </c>
      <c r="B398" s="96">
        <v>43354</v>
      </c>
      <c r="C398" s="97">
        <v>42</v>
      </c>
      <c r="D398" s="104">
        <v>651004</v>
      </c>
      <c r="E398" s="119" t="s">
        <v>106</v>
      </c>
      <c r="F398" s="100">
        <v>1170.8900000000001</v>
      </c>
      <c r="G398" s="285">
        <v>349.77</v>
      </c>
      <c r="H398" s="283">
        <v>526.45000000000005</v>
      </c>
      <c r="I398" s="102">
        <f>950*1.15</f>
        <v>1092.5</v>
      </c>
      <c r="J398" s="102">
        <f>950*1.15</f>
        <v>1092.5</v>
      </c>
      <c r="K398" s="102">
        <v>291.25</v>
      </c>
      <c r="L398" s="103"/>
      <c r="M398" s="59"/>
      <c r="U398" s="238"/>
      <c r="V398" s="59"/>
    </row>
    <row r="399" spans="1:22" ht="15.75" customHeight="1" x14ac:dyDescent="0.2">
      <c r="A399" s="95" t="s">
        <v>41</v>
      </c>
      <c r="B399" s="96">
        <v>43166</v>
      </c>
      <c r="C399" s="97">
        <v>42</v>
      </c>
      <c r="D399" s="104">
        <v>651004</v>
      </c>
      <c r="E399" s="119" t="s">
        <v>106</v>
      </c>
      <c r="F399" s="100"/>
      <c r="G399" s="285"/>
      <c r="H399" s="283"/>
      <c r="I399" s="102"/>
      <c r="J399" s="102"/>
      <c r="K399" s="102"/>
      <c r="L399" s="103"/>
      <c r="M399" s="59"/>
      <c r="U399" s="238"/>
      <c r="V399" s="59"/>
    </row>
    <row r="400" spans="1:22" ht="15.75" customHeight="1" x14ac:dyDescent="0.2">
      <c r="A400" s="95" t="s">
        <v>41</v>
      </c>
      <c r="B400" s="96">
        <v>44627</v>
      </c>
      <c r="C400" s="151">
        <v>42</v>
      </c>
      <c r="D400" s="104">
        <v>651004</v>
      </c>
      <c r="E400" s="119" t="s">
        <v>68</v>
      </c>
      <c r="F400" s="100">
        <v>83.56</v>
      </c>
      <c r="G400" s="285"/>
      <c r="H400" s="283">
        <v>0</v>
      </c>
      <c r="I400" s="102"/>
      <c r="J400" s="102"/>
      <c r="K400" s="102"/>
      <c r="L400" s="95"/>
      <c r="M400" s="59"/>
      <c r="U400" s="238"/>
      <c r="V400" s="59"/>
    </row>
    <row r="401" spans="1:22" ht="15.75" customHeight="1" x14ac:dyDescent="0.2">
      <c r="A401" s="129" t="s">
        <v>39</v>
      </c>
      <c r="B401" s="96">
        <v>44202</v>
      </c>
      <c r="C401" s="151">
        <v>42</v>
      </c>
      <c r="D401" s="104">
        <v>651004</v>
      </c>
      <c r="E401" s="119" t="s">
        <v>113</v>
      </c>
      <c r="F401" s="100">
        <v>2336.29</v>
      </c>
      <c r="G401" s="285">
        <v>1978.11</v>
      </c>
      <c r="H401" s="283">
        <v>1419.5</v>
      </c>
      <c r="I401" s="102">
        <f>1000*1.15</f>
        <v>1150</v>
      </c>
      <c r="J401" s="102">
        <f>1000*1.15</f>
        <v>1150</v>
      </c>
      <c r="K401" s="102">
        <v>850.03</v>
      </c>
      <c r="L401" s="103"/>
      <c r="M401" s="59"/>
      <c r="U401" s="238"/>
      <c r="V401" s="59"/>
    </row>
    <row r="402" spans="1:22" ht="15.75" customHeight="1" thickBot="1" x14ac:dyDescent="0.25">
      <c r="A402" s="129" t="s">
        <v>39</v>
      </c>
      <c r="B402" s="143">
        <v>43471</v>
      </c>
      <c r="C402" s="152">
        <v>41</v>
      </c>
      <c r="D402" s="153">
        <v>651004</v>
      </c>
      <c r="E402" s="154" t="s">
        <v>192</v>
      </c>
      <c r="F402" s="155">
        <v>0</v>
      </c>
      <c r="G402" s="298">
        <v>0</v>
      </c>
      <c r="H402" s="292">
        <v>0</v>
      </c>
      <c r="I402" s="262"/>
      <c r="J402" s="262"/>
      <c r="K402" s="157"/>
      <c r="L402" s="103"/>
      <c r="M402" s="59"/>
      <c r="U402" s="238"/>
      <c r="V402" s="59"/>
    </row>
    <row r="403" spans="1:22" ht="15" thickBot="1" x14ac:dyDescent="0.25">
      <c r="A403" s="42"/>
      <c r="B403" s="43"/>
      <c r="C403" s="43"/>
      <c r="D403" s="50" t="s">
        <v>50</v>
      </c>
      <c r="E403" s="44" t="s">
        <v>49</v>
      </c>
      <c r="F403" s="158">
        <f t="shared" ref="F403:H403" si="169">SUM(F404:F440)</f>
        <v>60993.140000000007</v>
      </c>
      <c r="G403" s="158">
        <f>SUM(G404:G440)</f>
        <v>29119</v>
      </c>
      <c r="H403" s="158">
        <f t="shared" si="169"/>
        <v>0</v>
      </c>
      <c r="I403" s="158">
        <f>SUM(I404:I440)</f>
        <v>5000</v>
      </c>
      <c r="J403" s="158">
        <f t="shared" ref="J403" si="170">SUM(J404:J440)</f>
        <v>5000</v>
      </c>
      <c r="K403" s="158">
        <f t="shared" ref="K403" si="171">SUM(K404:K440)</f>
        <v>5000</v>
      </c>
      <c r="L403" s="103"/>
      <c r="M403" s="59"/>
      <c r="U403" s="238"/>
      <c r="V403" s="59"/>
    </row>
    <row r="404" spans="1:22" ht="15.75" customHeight="1" x14ac:dyDescent="0.2">
      <c r="A404" s="47" t="s">
        <v>40</v>
      </c>
      <c r="B404" s="53" t="s">
        <v>180</v>
      </c>
      <c r="C404" s="45">
        <v>41</v>
      </c>
      <c r="D404" s="159">
        <v>711003</v>
      </c>
      <c r="E404" s="46" t="s">
        <v>86</v>
      </c>
      <c r="F404" s="160">
        <v>0</v>
      </c>
      <c r="G404" s="293">
        <v>0</v>
      </c>
      <c r="H404" s="161">
        <v>0</v>
      </c>
      <c r="I404" s="263"/>
      <c r="J404" s="263"/>
      <c r="K404" s="162"/>
      <c r="L404" s="163"/>
      <c r="M404" s="59"/>
      <c r="U404" s="238"/>
      <c r="V404" s="59"/>
    </row>
    <row r="405" spans="1:22" ht="15.75" customHeight="1" x14ac:dyDescent="0.2">
      <c r="A405" s="48" t="s">
        <v>38</v>
      </c>
      <c r="B405" s="53" t="s">
        <v>174</v>
      </c>
      <c r="C405" s="2">
        <v>41</v>
      </c>
      <c r="D405" s="104">
        <v>711003</v>
      </c>
      <c r="E405" s="119" t="s">
        <v>86</v>
      </c>
      <c r="F405" s="100"/>
      <c r="G405" s="285"/>
      <c r="H405" s="101"/>
      <c r="I405" s="257"/>
      <c r="J405" s="257"/>
      <c r="K405" s="102"/>
      <c r="L405" s="103"/>
      <c r="M405" s="59"/>
      <c r="U405" s="238"/>
      <c r="V405" s="59"/>
    </row>
    <row r="406" spans="1:22" ht="15.75" customHeight="1" x14ac:dyDescent="0.2">
      <c r="A406" s="48" t="s">
        <v>41</v>
      </c>
      <c r="B406" s="53" t="s">
        <v>181</v>
      </c>
      <c r="C406" s="2">
        <v>41</v>
      </c>
      <c r="D406" s="104">
        <v>711003</v>
      </c>
      <c r="E406" s="119" t="s">
        <v>86</v>
      </c>
      <c r="F406" s="100">
        <v>4198.8</v>
      </c>
      <c r="G406" s="285"/>
      <c r="H406" s="101"/>
      <c r="I406" s="257"/>
      <c r="J406" s="257"/>
      <c r="K406" s="102"/>
      <c r="L406" s="103"/>
      <c r="M406" s="59"/>
      <c r="U406" s="238"/>
      <c r="V406" s="59"/>
    </row>
    <row r="407" spans="1:22" ht="15.75" customHeight="1" x14ac:dyDescent="0.2">
      <c r="A407" s="48" t="s">
        <v>41</v>
      </c>
      <c r="B407" s="53" t="s">
        <v>181</v>
      </c>
      <c r="C407" s="2">
        <v>41</v>
      </c>
      <c r="D407" s="104">
        <v>711004</v>
      </c>
      <c r="E407" s="119" t="s">
        <v>87</v>
      </c>
      <c r="F407" s="100">
        <v>0</v>
      </c>
      <c r="G407" s="285">
        <v>0</v>
      </c>
      <c r="H407" s="101">
        <v>0</v>
      </c>
      <c r="I407" s="257"/>
      <c r="J407" s="257"/>
      <c r="K407" s="102"/>
      <c r="L407" s="103"/>
      <c r="M407" s="59"/>
      <c r="U407" s="238"/>
      <c r="V407" s="59"/>
    </row>
    <row r="408" spans="1:22" ht="15.75" customHeight="1" x14ac:dyDescent="0.2">
      <c r="A408" s="48" t="s">
        <v>39</v>
      </c>
      <c r="B408" s="53" t="s">
        <v>185</v>
      </c>
      <c r="C408" s="2">
        <v>41</v>
      </c>
      <c r="D408" s="104">
        <v>713001</v>
      </c>
      <c r="E408" s="119" t="s">
        <v>175</v>
      </c>
      <c r="F408" s="100">
        <v>574.58000000000004</v>
      </c>
      <c r="G408" s="285">
        <v>1014</v>
      </c>
      <c r="H408" s="101"/>
      <c r="I408" s="257"/>
      <c r="J408" s="257"/>
      <c r="K408" s="102"/>
      <c r="L408" s="103"/>
      <c r="M408" s="59"/>
      <c r="U408" s="238"/>
      <c r="V408" s="59"/>
    </row>
    <row r="409" spans="1:22" ht="15.75" customHeight="1" x14ac:dyDescent="0.2">
      <c r="A409" s="48" t="s">
        <v>42</v>
      </c>
      <c r="B409" s="53" t="s">
        <v>186</v>
      </c>
      <c r="C409" s="2">
        <v>41</v>
      </c>
      <c r="D409" s="104">
        <v>713002</v>
      </c>
      <c r="E409" s="119" t="s">
        <v>88</v>
      </c>
      <c r="F409" s="100">
        <v>0</v>
      </c>
      <c r="G409" s="285">
        <v>0</v>
      </c>
      <c r="H409" s="101">
        <v>0</v>
      </c>
      <c r="I409" s="257"/>
      <c r="J409" s="257"/>
      <c r="K409" s="102"/>
      <c r="L409" s="103"/>
      <c r="M409" s="59"/>
      <c r="U409" s="238"/>
      <c r="V409" s="59"/>
    </row>
    <row r="410" spans="1:22" ht="15.75" customHeight="1" x14ac:dyDescent="0.2">
      <c r="A410" s="48" t="s">
        <v>42</v>
      </c>
      <c r="B410" s="53" t="s">
        <v>70</v>
      </c>
      <c r="C410" s="2">
        <v>41</v>
      </c>
      <c r="D410" s="104">
        <v>713002</v>
      </c>
      <c r="E410" s="119" t="s">
        <v>88</v>
      </c>
      <c r="F410" s="100">
        <v>0</v>
      </c>
      <c r="G410" s="285">
        <v>0</v>
      </c>
      <c r="H410" s="101">
        <v>0</v>
      </c>
      <c r="I410" s="257"/>
      <c r="J410" s="257"/>
      <c r="K410" s="102"/>
      <c r="L410" s="103"/>
      <c r="M410" s="59"/>
      <c r="U410" s="238"/>
      <c r="V410" s="59"/>
    </row>
    <row r="411" spans="1:22" ht="15.75" customHeight="1" x14ac:dyDescent="0.2">
      <c r="A411" s="48" t="s">
        <v>40</v>
      </c>
      <c r="B411" s="53" t="s">
        <v>180</v>
      </c>
      <c r="C411" s="2">
        <v>41</v>
      </c>
      <c r="D411" s="104">
        <v>713002</v>
      </c>
      <c r="E411" s="119" t="s">
        <v>88</v>
      </c>
      <c r="F411" s="100">
        <v>3053.92</v>
      </c>
      <c r="G411" s="285"/>
      <c r="H411" s="101"/>
      <c r="I411" s="257"/>
      <c r="J411" s="257"/>
      <c r="K411" s="102"/>
      <c r="L411" s="103"/>
      <c r="M411" s="59"/>
      <c r="U411" s="238"/>
      <c r="V411" s="59"/>
    </row>
    <row r="412" spans="1:22" ht="15.75" customHeight="1" x14ac:dyDescent="0.2">
      <c r="A412" s="48" t="s">
        <v>38</v>
      </c>
      <c r="B412" s="53" t="s">
        <v>174</v>
      </c>
      <c r="C412" s="2">
        <v>41</v>
      </c>
      <c r="D412" s="104">
        <v>713003</v>
      </c>
      <c r="E412" s="119"/>
      <c r="F412" s="100">
        <v>915.9</v>
      </c>
      <c r="G412" s="285"/>
      <c r="H412" s="101"/>
      <c r="I412" s="257"/>
      <c r="J412" s="257"/>
      <c r="K412" s="102"/>
      <c r="L412" s="103"/>
      <c r="M412" s="59"/>
      <c r="U412" s="238"/>
      <c r="V412" s="59"/>
    </row>
    <row r="413" spans="1:22" ht="15.75" customHeight="1" x14ac:dyDescent="0.2">
      <c r="A413" s="48" t="s">
        <v>41</v>
      </c>
      <c r="B413" s="53" t="s">
        <v>181</v>
      </c>
      <c r="C413" s="2">
        <v>41</v>
      </c>
      <c r="D413" s="104">
        <v>713003</v>
      </c>
      <c r="E413" s="1" t="s">
        <v>178</v>
      </c>
      <c r="F413" s="100">
        <v>343.56</v>
      </c>
      <c r="G413" s="285"/>
      <c r="H413" s="101"/>
      <c r="I413" s="257"/>
      <c r="J413" s="257"/>
      <c r="K413" s="102"/>
      <c r="L413" s="103"/>
      <c r="M413" s="59"/>
      <c r="U413" s="238"/>
      <c r="V413" s="59"/>
    </row>
    <row r="414" spans="1:22" ht="15.75" customHeight="1" x14ac:dyDescent="0.2">
      <c r="A414" s="48" t="s">
        <v>39</v>
      </c>
      <c r="B414" s="53" t="s">
        <v>185</v>
      </c>
      <c r="C414" s="2">
        <v>41</v>
      </c>
      <c r="D414" s="104">
        <v>713004</v>
      </c>
      <c r="E414" s="119" t="s">
        <v>163</v>
      </c>
      <c r="F414" s="100">
        <v>6568.96</v>
      </c>
      <c r="G414" s="285">
        <v>0</v>
      </c>
      <c r="H414" s="101"/>
      <c r="I414" s="264">
        <v>5000</v>
      </c>
      <c r="J414" s="264">
        <v>5000</v>
      </c>
      <c r="K414" s="235">
        <v>5000</v>
      </c>
      <c r="L414" s="103"/>
      <c r="M414" s="59"/>
      <c r="U414" s="238"/>
      <c r="V414" s="59"/>
    </row>
    <row r="415" spans="1:22" ht="15.75" customHeight="1" x14ac:dyDescent="0.2">
      <c r="A415" s="48" t="s">
        <v>39</v>
      </c>
      <c r="B415" s="53" t="s">
        <v>185</v>
      </c>
      <c r="C415" s="2">
        <v>42</v>
      </c>
      <c r="D415" s="104">
        <v>713004</v>
      </c>
      <c r="E415" s="119" t="s">
        <v>163</v>
      </c>
      <c r="F415" s="100">
        <v>3948</v>
      </c>
      <c r="G415" s="285">
        <v>6690</v>
      </c>
      <c r="H415" s="101"/>
      <c r="I415" s="102"/>
      <c r="J415" s="102"/>
      <c r="K415" s="102"/>
      <c r="L415" s="103"/>
      <c r="M415" s="59"/>
      <c r="U415" s="238"/>
      <c r="V415" s="59"/>
    </row>
    <row r="416" spans="1:22" ht="15.75" customHeight="1" x14ac:dyDescent="0.2">
      <c r="A416" s="48" t="s">
        <v>40</v>
      </c>
      <c r="B416" s="53" t="s">
        <v>180</v>
      </c>
      <c r="C416" s="2">
        <v>41</v>
      </c>
      <c r="D416" s="104">
        <v>713004</v>
      </c>
      <c r="E416" s="119" t="s">
        <v>163</v>
      </c>
      <c r="F416" s="100">
        <v>11737.3</v>
      </c>
      <c r="G416" s="285">
        <v>0</v>
      </c>
      <c r="H416" s="101">
        <v>0</v>
      </c>
      <c r="I416" s="257"/>
      <c r="J416" s="257"/>
      <c r="K416" s="102"/>
      <c r="L416" s="103"/>
      <c r="M416" s="59"/>
      <c r="U416" s="238"/>
      <c r="V416" s="59"/>
    </row>
    <row r="417" spans="1:22" ht="15.75" customHeight="1" x14ac:dyDescent="0.2">
      <c r="A417" s="48" t="s">
        <v>40</v>
      </c>
      <c r="B417" s="53" t="s">
        <v>180</v>
      </c>
      <c r="C417" s="2">
        <v>42</v>
      </c>
      <c r="D417" s="104">
        <v>713004</v>
      </c>
      <c r="E417" s="119" t="s">
        <v>83</v>
      </c>
      <c r="F417" s="100"/>
      <c r="G417" s="285">
        <v>3400</v>
      </c>
      <c r="H417" s="101"/>
      <c r="I417" s="102"/>
      <c r="J417" s="102"/>
      <c r="K417" s="102"/>
      <c r="L417" s="103"/>
      <c r="M417" s="59"/>
      <c r="U417" s="238"/>
      <c r="V417" s="59"/>
    </row>
    <row r="418" spans="1:22" ht="18.600000000000001" customHeight="1" x14ac:dyDescent="0.2">
      <c r="A418" s="48" t="s">
        <v>40</v>
      </c>
      <c r="B418" s="53" t="s">
        <v>176</v>
      </c>
      <c r="C418" s="2">
        <v>41</v>
      </c>
      <c r="D418" s="104">
        <v>713005</v>
      </c>
      <c r="E418" s="119" t="s">
        <v>177</v>
      </c>
      <c r="F418" s="100">
        <v>1422</v>
      </c>
      <c r="G418" s="285"/>
      <c r="H418" s="101"/>
      <c r="I418" s="257"/>
      <c r="J418" s="257"/>
      <c r="K418" s="102"/>
      <c r="L418" s="103"/>
      <c r="M418" s="59"/>
      <c r="U418" s="238"/>
      <c r="V418" s="59"/>
    </row>
    <row r="419" spans="1:22" ht="15.75" customHeight="1" x14ac:dyDescent="0.2">
      <c r="A419" s="48" t="s">
        <v>38</v>
      </c>
      <c r="B419" s="53" t="s">
        <v>174</v>
      </c>
      <c r="C419" s="2">
        <v>41</v>
      </c>
      <c r="D419" s="104">
        <v>713004</v>
      </c>
      <c r="E419" s="119" t="s">
        <v>83</v>
      </c>
      <c r="F419" s="100">
        <v>2472</v>
      </c>
      <c r="G419" s="285"/>
      <c r="H419" s="101"/>
      <c r="I419" s="257"/>
      <c r="J419" s="257"/>
      <c r="K419" s="102"/>
      <c r="L419" s="103"/>
      <c r="M419" s="59"/>
      <c r="U419" s="238"/>
      <c r="V419" s="59"/>
    </row>
    <row r="420" spans="1:22" ht="15.75" customHeight="1" x14ac:dyDescent="0.2">
      <c r="A420" s="48" t="s">
        <v>41</v>
      </c>
      <c r="B420" s="53" t="s">
        <v>181</v>
      </c>
      <c r="C420" s="2">
        <v>41</v>
      </c>
      <c r="D420" s="104">
        <v>717002</v>
      </c>
      <c r="E420" s="119" t="s">
        <v>85</v>
      </c>
      <c r="F420" s="100"/>
      <c r="G420" s="100"/>
      <c r="H420" s="101"/>
      <c r="I420" s="257"/>
      <c r="J420" s="257"/>
      <c r="K420" s="102"/>
      <c r="L420" s="103"/>
      <c r="M420" s="59"/>
      <c r="U420" s="238"/>
      <c r="V420" s="59"/>
    </row>
    <row r="421" spans="1:22" ht="15.75" customHeight="1" x14ac:dyDescent="0.2">
      <c r="A421" s="48" t="s">
        <v>42</v>
      </c>
      <c r="B421" s="53" t="s">
        <v>70</v>
      </c>
      <c r="C421" s="2">
        <v>41</v>
      </c>
      <c r="D421" s="104">
        <v>717002</v>
      </c>
      <c r="E421" s="164" t="s">
        <v>85</v>
      </c>
      <c r="F421" s="100">
        <v>0</v>
      </c>
      <c r="G421" s="100">
        <v>0</v>
      </c>
      <c r="H421" s="101">
        <v>0</v>
      </c>
      <c r="I421" s="257"/>
      <c r="J421" s="257"/>
      <c r="K421" s="102"/>
      <c r="L421" s="103"/>
      <c r="M421" s="59"/>
      <c r="U421" s="238"/>
      <c r="V421" s="59"/>
    </row>
    <row r="422" spans="1:22" ht="15.75" customHeight="1" x14ac:dyDescent="0.2">
      <c r="A422" s="48" t="s">
        <v>40</v>
      </c>
      <c r="B422" s="53" t="s">
        <v>180</v>
      </c>
      <c r="C422" s="2">
        <v>41</v>
      </c>
      <c r="D422" s="104">
        <v>717002</v>
      </c>
      <c r="E422" s="164" t="s">
        <v>85</v>
      </c>
      <c r="F422" s="100">
        <v>0</v>
      </c>
      <c r="G422" s="100">
        <v>0</v>
      </c>
      <c r="H422" s="101">
        <v>0</v>
      </c>
      <c r="I422" s="257"/>
      <c r="J422" s="257"/>
      <c r="K422" s="102"/>
      <c r="L422" s="103"/>
      <c r="M422" s="59"/>
      <c r="U422" s="238"/>
      <c r="V422" s="59"/>
    </row>
    <row r="423" spans="1:22" ht="15.75" customHeight="1" x14ac:dyDescent="0.2">
      <c r="A423" s="48" t="s">
        <v>40</v>
      </c>
      <c r="B423" s="53" t="s">
        <v>180</v>
      </c>
      <c r="C423" s="2">
        <v>41</v>
      </c>
      <c r="D423" s="104">
        <v>717003</v>
      </c>
      <c r="E423" s="164" t="s">
        <v>89</v>
      </c>
      <c r="F423" s="100">
        <v>0</v>
      </c>
      <c r="G423" s="100">
        <v>0</v>
      </c>
      <c r="H423" s="101">
        <v>0</v>
      </c>
      <c r="I423" s="257"/>
      <c r="J423" s="257"/>
      <c r="K423" s="102"/>
      <c r="L423" s="103"/>
      <c r="M423" s="59"/>
      <c r="U423" s="238"/>
      <c r="V423" s="59"/>
    </row>
    <row r="424" spans="1:22" ht="15.75" customHeight="1" x14ac:dyDescent="0.2">
      <c r="A424" s="48" t="s">
        <v>40</v>
      </c>
      <c r="B424" s="53" t="s">
        <v>180</v>
      </c>
      <c r="C424" s="2">
        <v>41</v>
      </c>
      <c r="D424" s="104">
        <v>714001</v>
      </c>
      <c r="E424" s="164" t="s">
        <v>90</v>
      </c>
      <c r="F424" s="100">
        <v>10264.02</v>
      </c>
      <c r="G424" s="100">
        <v>0</v>
      </c>
      <c r="H424" s="101">
        <v>0</v>
      </c>
      <c r="I424" s="257"/>
      <c r="J424" s="257"/>
      <c r="K424" s="102"/>
      <c r="L424" s="103"/>
      <c r="M424" s="59"/>
      <c r="U424" s="238"/>
      <c r="V424" s="59"/>
    </row>
    <row r="425" spans="1:22" ht="15" customHeight="1" x14ac:dyDescent="0.2">
      <c r="A425" s="48" t="s">
        <v>40</v>
      </c>
      <c r="B425" s="53" t="s">
        <v>180</v>
      </c>
      <c r="C425" s="2">
        <v>46</v>
      </c>
      <c r="D425" s="104">
        <v>714001</v>
      </c>
      <c r="E425" s="164" t="s">
        <v>90</v>
      </c>
      <c r="F425" s="100"/>
      <c r="G425" s="100"/>
      <c r="H425" s="101"/>
      <c r="I425" s="102"/>
      <c r="J425" s="102"/>
      <c r="K425" s="102"/>
      <c r="L425" s="103"/>
      <c r="M425" s="59"/>
      <c r="U425" s="238"/>
      <c r="V425" s="59"/>
    </row>
    <row r="426" spans="1:22" ht="15.75" customHeight="1" x14ac:dyDescent="0.2">
      <c r="A426" s="48" t="s">
        <v>40</v>
      </c>
      <c r="B426" s="53" t="s">
        <v>180</v>
      </c>
      <c r="C426" s="2">
        <v>42</v>
      </c>
      <c r="D426" s="104">
        <v>714001</v>
      </c>
      <c r="E426" s="164" t="s">
        <v>90</v>
      </c>
      <c r="F426" s="100">
        <v>2045.14</v>
      </c>
      <c r="G426" s="100"/>
      <c r="H426" s="101"/>
      <c r="I426" s="102"/>
      <c r="J426" s="102"/>
      <c r="K426" s="102"/>
      <c r="L426" s="103"/>
      <c r="M426" s="59"/>
      <c r="U426" s="238"/>
      <c r="V426" s="59"/>
    </row>
    <row r="427" spans="1:22" ht="15.75" customHeight="1" x14ac:dyDescent="0.2">
      <c r="A427" s="48" t="s">
        <v>41</v>
      </c>
      <c r="B427" s="53" t="s">
        <v>181</v>
      </c>
      <c r="C427" s="2">
        <v>41</v>
      </c>
      <c r="D427" s="104">
        <v>714001</v>
      </c>
      <c r="E427" s="164" t="s">
        <v>179</v>
      </c>
      <c r="F427" s="100">
        <v>500</v>
      </c>
      <c r="G427" s="100">
        <v>0</v>
      </c>
      <c r="H427" s="101"/>
      <c r="I427" s="257"/>
      <c r="J427" s="257"/>
      <c r="K427" s="102"/>
      <c r="L427" s="103"/>
      <c r="M427" s="59"/>
      <c r="U427" s="238"/>
      <c r="V427" s="59"/>
    </row>
    <row r="428" spans="1:22" ht="15.75" customHeight="1" x14ac:dyDescent="0.2">
      <c r="A428" s="48" t="s">
        <v>39</v>
      </c>
      <c r="B428" s="53" t="s">
        <v>185</v>
      </c>
      <c r="C428" s="2">
        <v>41</v>
      </c>
      <c r="D428" s="104">
        <v>714001</v>
      </c>
      <c r="E428" s="164" t="s">
        <v>150</v>
      </c>
      <c r="F428" s="100">
        <v>12001.2</v>
      </c>
      <c r="G428" s="100">
        <v>0</v>
      </c>
      <c r="H428" s="101">
        <v>0</v>
      </c>
      <c r="I428" s="257"/>
      <c r="J428" s="257"/>
      <c r="K428" s="102"/>
      <c r="L428" s="103"/>
      <c r="M428" s="59"/>
      <c r="U428" s="238"/>
      <c r="V428" s="59"/>
    </row>
    <row r="429" spans="1:22" ht="15.75" customHeight="1" x14ac:dyDescent="0.2">
      <c r="A429" s="48" t="s">
        <v>41</v>
      </c>
      <c r="B429" s="53" t="s">
        <v>181</v>
      </c>
      <c r="C429" s="2">
        <v>42</v>
      </c>
      <c r="D429" s="104">
        <v>714001</v>
      </c>
      <c r="E429" s="164" t="s">
        <v>90</v>
      </c>
      <c r="F429" s="100"/>
      <c r="G429" s="100"/>
      <c r="H429" s="101"/>
      <c r="I429" s="102"/>
      <c r="J429" s="102"/>
      <c r="K429" s="102"/>
      <c r="L429" s="103"/>
      <c r="M429" s="59"/>
      <c r="U429" s="238"/>
      <c r="V429" s="59"/>
    </row>
    <row r="430" spans="1:22" ht="15.75" customHeight="1" x14ac:dyDescent="0.2">
      <c r="A430" s="48" t="s">
        <v>39</v>
      </c>
      <c r="B430" s="53" t="s">
        <v>185</v>
      </c>
      <c r="C430" s="2">
        <v>42</v>
      </c>
      <c r="D430" s="104">
        <v>714001</v>
      </c>
      <c r="E430" s="164" t="s">
        <v>90</v>
      </c>
      <c r="F430" s="100">
        <v>0</v>
      </c>
      <c r="G430" s="100">
        <v>0</v>
      </c>
      <c r="H430" s="101">
        <v>0</v>
      </c>
      <c r="I430" s="102"/>
      <c r="J430" s="102"/>
      <c r="K430" s="102"/>
      <c r="L430" s="103"/>
      <c r="M430" s="59"/>
      <c r="U430" s="238"/>
      <c r="V430" s="59"/>
    </row>
    <row r="431" spans="1:22" ht="15.75" customHeight="1" x14ac:dyDescent="0.2">
      <c r="A431" s="48" t="s">
        <v>41</v>
      </c>
      <c r="B431" s="53" t="s">
        <v>181</v>
      </c>
      <c r="C431" s="2">
        <v>41</v>
      </c>
      <c r="D431" s="104">
        <v>718004</v>
      </c>
      <c r="E431" s="164" t="s">
        <v>154</v>
      </c>
      <c r="F431" s="100">
        <v>0</v>
      </c>
      <c r="G431" s="100">
        <v>0</v>
      </c>
      <c r="H431" s="101">
        <v>0</v>
      </c>
      <c r="I431" s="257"/>
      <c r="J431" s="257"/>
      <c r="K431" s="102"/>
      <c r="L431" s="103"/>
      <c r="M431" s="165"/>
      <c r="U431" s="238"/>
      <c r="V431" s="59"/>
    </row>
    <row r="432" spans="1:22" ht="15.75" customHeight="1" x14ac:dyDescent="0.2">
      <c r="A432" s="48" t="s">
        <v>39</v>
      </c>
      <c r="B432" s="53" t="s">
        <v>185</v>
      </c>
      <c r="C432" s="2">
        <v>41</v>
      </c>
      <c r="D432" s="104">
        <v>718004</v>
      </c>
      <c r="E432" s="164" t="s">
        <v>84</v>
      </c>
      <c r="F432" s="100">
        <v>0</v>
      </c>
      <c r="G432" s="100">
        <v>0</v>
      </c>
      <c r="H432" s="101">
        <v>0</v>
      </c>
      <c r="I432" s="257"/>
      <c r="J432" s="257"/>
      <c r="K432" s="102"/>
      <c r="L432" s="103"/>
      <c r="M432" s="59"/>
      <c r="U432" s="238"/>
      <c r="V432" s="59"/>
    </row>
    <row r="433" spans="1:22" ht="15.75" customHeight="1" x14ac:dyDescent="0.2">
      <c r="A433" s="48" t="s">
        <v>40</v>
      </c>
      <c r="B433" s="53" t="s">
        <v>180</v>
      </c>
      <c r="C433" s="2">
        <v>41</v>
      </c>
      <c r="D433" s="104">
        <v>718004</v>
      </c>
      <c r="E433" s="164" t="s">
        <v>84</v>
      </c>
      <c r="F433" s="100">
        <v>0</v>
      </c>
      <c r="G433" s="100">
        <v>0</v>
      </c>
      <c r="H433" s="101">
        <v>0</v>
      </c>
      <c r="I433" s="257"/>
      <c r="J433" s="257"/>
      <c r="K433" s="102"/>
      <c r="L433" s="103"/>
      <c r="M433" s="59"/>
      <c r="U433" s="238"/>
      <c r="V433" s="59"/>
    </row>
    <row r="434" spans="1:22" ht="15.75" customHeight="1" x14ac:dyDescent="0.2">
      <c r="A434" s="48" t="s">
        <v>39</v>
      </c>
      <c r="B434" s="53" t="s">
        <v>185</v>
      </c>
      <c r="C434" s="2">
        <v>41</v>
      </c>
      <c r="D434" s="104">
        <v>717002</v>
      </c>
      <c r="E434" s="164" t="s">
        <v>85</v>
      </c>
      <c r="F434" s="100">
        <v>0</v>
      </c>
      <c r="G434" s="100">
        <v>0</v>
      </c>
      <c r="H434" s="101">
        <v>0</v>
      </c>
      <c r="I434" s="257"/>
      <c r="J434" s="257"/>
      <c r="K434" s="102"/>
      <c r="L434" s="103"/>
      <c r="M434" s="59"/>
      <c r="U434" s="238"/>
      <c r="V434" s="59"/>
    </row>
    <row r="435" spans="1:22" ht="15.75" customHeight="1" x14ac:dyDescent="0.2">
      <c r="A435" s="48" t="s">
        <v>40</v>
      </c>
      <c r="B435" s="53" t="s">
        <v>180</v>
      </c>
      <c r="C435" s="2">
        <v>41</v>
      </c>
      <c r="D435" s="104">
        <v>714004</v>
      </c>
      <c r="E435" s="164" t="s">
        <v>104</v>
      </c>
      <c r="F435" s="100">
        <v>0</v>
      </c>
      <c r="G435" s="100">
        <v>0</v>
      </c>
      <c r="H435" s="101">
        <v>0</v>
      </c>
      <c r="I435" s="257"/>
      <c r="J435" s="257"/>
      <c r="K435" s="102"/>
      <c r="L435" s="103"/>
      <c r="M435" s="59"/>
      <c r="U435" s="238"/>
      <c r="V435" s="59"/>
    </row>
    <row r="436" spans="1:22" ht="15.75" customHeight="1" x14ac:dyDescent="0.2">
      <c r="A436" s="48" t="s">
        <v>40</v>
      </c>
      <c r="B436" s="53" t="s">
        <v>180</v>
      </c>
      <c r="C436" s="2">
        <v>41</v>
      </c>
      <c r="D436" s="104">
        <v>714004</v>
      </c>
      <c r="E436" s="166" t="s">
        <v>149</v>
      </c>
      <c r="F436" s="155">
        <v>947.76</v>
      </c>
      <c r="G436" s="298">
        <v>2015</v>
      </c>
      <c r="H436" s="156">
        <v>0</v>
      </c>
      <c r="I436" s="262"/>
      <c r="J436" s="262"/>
      <c r="K436" s="157"/>
      <c r="L436" s="103"/>
      <c r="M436" s="59"/>
      <c r="U436" s="238"/>
      <c r="V436" s="59"/>
    </row>
    <row r="437" spans="1:22" ht="15" customHeight="1" x14ac:dyDescent="0.2">
      <c r="A437" s="48" t="s">
        <v>40</v>
      </c>
      <c r="B437" s="53" t="s">
        <v>180</v>
      </c>
      <c r="C437" s="2">
        <v>46</v>
      </c>
      <c r="D437" s="104">
        <v>714004</v>
      </c>
      <c r="E437" s="166" t="s">
        <v>161</v>
      </c>
      <c r="F437" s="155"/>
      <c r="G437" s="298"/>
      <c r="H437" s="156"/>
      <c r="I437" s="157"/>
      <c r="J437" s="157"/>
      <c r="K437" s="157"/>
      <c r="L437" s="103"/>
      <c r="M437" s="59"/>
      <c r="U437" s="238"/>
      <c r="V437" s="59"/>
    </row>
    <row r="438" spans="1:22" ht="15.75" customHeight="1" x14ac:dyDescent="0.2">
      <c r="A438" s="48" t="s">
        <v>40</v>
      </c>
      <c r="B438" s="53" t="s">
        <v>180</v>
      </c>
      <c r="C438" s="2">
        <v>41</v>
      </c>
      <c r="D438" s="104">
        <v>714004</v>
      </c>
      <c r="E438" s="167" t="s">
        <v>190</v>
      </c>
      <c r="F438" s="155">
        <v>0</v>
      </c>
      <c r="G438" s="298">
        <v>16000</v>
      </c>
      <c r="H438" s="156">
        <v>0</v>
      </c>
      <c r="I438" s="262"/>
      <c r="J438" s="262"/>
      <c r="K438" s="157"/>
      <c r="L438" s="103"/>
      <c r="M438" s="59"/>
      <c r="U438" s="238"/>
      <c r="V438" s="59"/>
    </row>
    <row r="439" spans="1:22" ht="15.75" customHeight="1" x14ac:dyDescent="0.2">
      <c r="A439" s="49" t="s">
        <v>39</v>
      </c>
      <c r="B439" s="53" t="s">
        <v>185</v>
      </c>
      <c r="C439" s="41">
        <v>41</v>
      </c>
      <c r="D439" s="153">
        <v>714004</v>
      </c>
      <c r="E439" s="167" t="s">
        <v>187</v>
      </c>
      <c r="F439" s="155"/>
      <c r="G439" s="298"/>
      <c r="H439" s="156">
        <v>0</v>
      </c>
      <c r="I439" s="262"/>
      <c r="J439" s="262"/>
      <c r="K439" s="157"/>
      <c r="L439" s="103"/>
      <c r="M439" s="128"/>
      <c r="U439" s="238"/>
      <c r="V439" s="59"/>
    </row>
    <row r="440" spans="1:22" ht="15.75" customHeight="1" thickBot="1" x14ac:dyDescent="0.25">
      <c r="A440" s="49" t="s">
        <v>40</v>
      </c>
      <c r="B440" s="53" t="s">
        <v>180</v>
      </c>
      <c r="C440" s="41">
        <v>41</v>
      </c>
      <c r="D440" s="153">
        <v>714004</v>
      </c>
      <c r="E440" s="167" t="s">
        <v>151</v>
      </c>
      <c r="F440" s="155">
        <v>0</v>
      </c>
      <c r="G440" s="298">
        <v>0</v>
      </c>
      <c r="H440" s="156">
        <v>0</v>
      </c>
      <c r="I440" s="262"/>
      <c r="J440" s="262"/>
      <c r="K440" s="157"/>
      <c r="L440" s="103"/>
      <c r="M440" s="128"/>
      <c r="U440" s="238"/>
      <c r="V440" s="59"/>
    </row>
    <row r="441" spans="1:22" ht="15" thickBot="1" x14ac:dyDescent="0.25">
      <c r="A441" s="42"/>
      <c r="B441" s="43"/>
      <c r="C441" s="43"/>
      <c r="D441" s="43"/>
      <c r="E441" s="44" t="s">
        <v>103</v>
      </c>
      <c r="F441" s="158">
        <f t="shared" ref="F441:H441" si="172">SUM(F442:F443)</f>
        <v>41371.850000000006</v>
      </c>
      <c r="G441" s="158">
        <f t="shared" si="172"/>
        <v>38679.54</v>
      </c>
      <c r="H441" s="158">
        <f t="shared" si="172"/>
        <v>39468.090000000004</v>
      </c>
      <c r="I441" s="168">
        <f t="shared" ref="I441" si="173">SUM(I442:I443)</f>
        <v>40825</v>
      </c>
      <c r="J441" s="168">
        <f t="shared" ref="J441" si="174">SUM(J442:J443)</f>
        <v>40825</v>
      </c>
      <c r="K441" s="168">
        <f>SUM(K442:K443)</f>
        <v>40272.76</v>
      </c>
      <c r="L441" s="103"/>
      <c r="M441" s="59"/>
      <c r="U441" s="238"/>
      <c r="V441" s="59"/>
    </row>
    <row r="442" spans="1:22" ht="15.75" customHeight="1" thickBot="1" x14ac:dyDescent="0.25">
      <c r="A442" s="169" t="s">
        <v>39</v>
      </c>
      <c r="B442" s="170">
        <v>43106</v>
      </c>
      <c r="C442" s="171">
        <v>42</v>
      </c>
      <c r="D442" s="159">
        <v>824</v>
      </c>
      <c r="E442" s="172" t="s">
        <v>165</v>
      </c>
      <c r="F442" s="160">
        <v>31572.58</v>
      </c>
      <c r="G442" s="293">
        <v>28655.49</v>
      </c>
      <c r="H442" s="293">
        <f>4908.27+24305.83</f>
        <v>29214.100000000002</v>
      </c>
      <c r="I442" s="173">
        <f>25500*1.15</f>
        <v>29324.999999999996</v>
      </c>
      <c r="J442" s="173">
        <f>25500*1.15</f>
        <v>29324.999999999996</v>
      </c>
      <c r="K442" s="173">
        <v>29783.57</v>
      </c>
      <c r="L442" s="163"/>
      <c r="M442" s="174"/>
      <c r="U442" s="238"/>
      <c r="V442" s="59"/>
    </row>
    <row r="443" spans="1:22" ht="15.75" customHeight="1" thickBot="1" x14ac:dyDescent="0.25">
      <c r="A443" s="175" t="s">
        <v>40</v>
      </c>
      <c r="B443" s="176">
        <v>43719</v>
      </c>
      <c r="C443" s="177">
        <v>42</v>
      </c>
      <c r="D443" s="178">
        <v>824</v>
      </c>
      <c r="E443" s="179" t="s">
        <v>105</v>
      </c>
      <c r="F443" s="180">
        <v>9799.27</v>
      </c>
      <c r="G443" s="294">
        <v>10024.049999999999</v>
      </c>
      <c r="H443" s="294">
        <v>10253.99</v>
      </c>
      <c r="I443" s="181">
        <f>10000*1.15</f>
        <v>11500</v>
      </c>
      <c r="J443" s="181">
        <f>10000*1.15</f>
        <v>11500</v>
      </c>
      <c r="K443" s="181">
        <v>10489.19</v>
      </c>
      <c r="L443" s="103"/>
      <c r="M443" s="174"/>
      <c r="N443" s="174"/>
      <c r="U443" s="238"/>
      <c r="V443" s="59"/>
    </row>
    <row r="444" spans="1:22" ht="15" thickBot="1" x14ac:dyDescent="0.25">
      <c r="D444" s="182"/>
      <c r="E444" s="183"/>
      <c r="F444" s="184"/>
      <c r="G444" s="184"/>
      <c r="H444" s="184"/>
      <c r="I444" s="265"/>
      <c r="J444" s="265"/>
      <c r="K444" s="184"/>
      <c r="L444" s="103"/>
      <c r="M444" s="59"/>
      <c r="N444" s="174"/>
      <c r="U444" s="238"/>
      <c r="V444" s="59"/>
    </row>
    <row r="445" spans="1:22" ht="27" customHeight="1" thickBot="1" x14ac:dyDescent="0.25">
      <c r="A445" s="3"/>
      <c r="B445" s="185"/>
      <c r="C445" s="186" t="s">
        <v>82</v>
      </c>
      <c r="D445" s="187" t="s">
        <v>0</v>
      </c>
      <c r="E445" s="187" t="s">
        <v>52</v>
      </c>
      <c r="F445" s="188" t="s">
        <v>55</v>
      </c>
      <c r="G445" s="252" t="s">
        <v>55</v>
      </c>
      <c r="H445" s="188" t="s">
        <v>55</v>
      </c>
      <c r="I445" s="274" t="s">
        <v>47</v>
      </c>
      <c r="J445" s="254" t="s">
        <v>172</v>
      </c>
      <c r="K445" s="253" t="s">
        <v>55</v>
      </c>
      <c r="L445" s="184"/>
      <c r="M445" s="59"/>
      <c r="U445" s="238"/>
      <c r="V445" s="59"/>
    </row>
    <row r="446" spans="1:22" ht="15" thickBot="1" x14ac:dyDescent="0.25">
      <c r="A446" s="186"/>
      <c r="B446" s="189"/>
      <c r="C446" s="190" t="s">
        <v>66</v>
      </c>
      <c r="D446" s="191" t="s">
        <v>2</v>
      </c>
      <c r="E446" s="191"/>
      <c r="F446" s="192">
        <v>2020</v>
      </c>
      <c r="G446" s="192">
        <v>2021</v>
      </c>
      <c r="H446" s="251">
        <v>2022</v>
      </c>
      <c r="I446" s="80">
        <v>2023</v>
      </c>
      <c r="J446" s="266">
        <v>2023</v>
      </c>
      <c r="K446" s="251">
        <v>2023</v>
      </c>
      <c r="L446" s="74"/>
      <c r="M446" s="59"/>
      <c r="U446" s="238"/>
      <c r="V446" s="59"/>
    </row>
    <row r="447" spans="1:22" x14ac:dyDescent="0.2">
      <c r="A447" s="193"/>
      <c r="B447" s="194"/>
      <c r="C447" s="233"/>
      <c r="D447" s="195"/>
      <c r="E447" s="46" t="s">
        <v>92</v>
      </c>
      <c r="F447" s="196">
        <f>SUM(F449:F459)+F462</f>
        <v>1192797.8399999999</v>
      </c>
      <c r="G447" s="196">
        <f>SUM(G449:G460)+G462</f>
        <v>1296778.8999999999</v>
      </c>
      <c r="H447" s="282">
        <f t="shared" ref="H447" si="175">SUM(H448:H459)+H462</f>
        <v>1308311.52</v>
      </c>
      <c r="I447" s="267">
        <f>SUM(I448:I460,I462)</f>
        <v>1477416.8699999999</v>
      </c>
      <c r="J447" s="267">
        <f>SUM(J448:J460,J462)</f>
        <v>1537416.8699999999</v>
      </c>
      <c r="K447" s="267">
        <f>SUM(K448:K460,K462)</f>
        <v>1495852.0899999999</v>
      </c>
      <c r="L447" s="81"/>
      <c r="M447" s="59"/>
      <c r="U447" s="238"/>
      <c r="V447" s="59"/>
    </row>
    <row r="448" spans="1:22" x14ac:dyDescent="0.2">
      <c r="A448" s="193"/>
      <c r="B448" s="194"/>
      <c r="C448" s="197">
        <v>41</v>
      </c>
      <c r="D448" s="197">
        <v>212002</v>
      </c>
      <c r="E448" s="1" t="s">
        <v>194</v>
      </c>
      <c r="F448" s="196"/>
      <c r="G448" s="196"/>
      <c r="H448" s="199"/>
      <c r="I448" s="267">
        <v>0</v>
      </c>
      <c r="J448" s="267">
        <v>0</v>
      </c>
      <c r="K448" s="196"/>
      <c r="L448" s="81"/>
      <c r="M448" s="59"/>
      <c r="U448" s="238"/>
      <c r="V448" s="59"/>
    </row>
    <row r="449" spans="1:22" x14ac:dyDescent="0.2">
      <c r="A449" s="115"/>
      <c r="B449" s="198"/>
      <c r="C449" s="197">
        <v>46</v>
      </c>
      <c r="D449" s="197">
        <v>212002</v>
      </c>
      <c r="E449" s="1" t="s">
        <v>96</v>
      </c>
      <c r="F449" s="199">
        <v>19652.5</v>
      </c>
      <c r="G449" s="199">
        <v>24196.97</v>
      </c>
      <c r="H449" s="199">
        <v>28452.29</v>
      </c>
      <c r="I449" s="267">
        <f>31000*1.15+1724.97</f>
        <v>37374.97</v>
      </c>
      <c r="J449" s="267">
        <v>37374.97</v>
      </c>
      <c r="K449" s="196">
        <v>27269</v>
      </c>
      <c r="L449" s="200"/>
      <c r="M449" s="59"/>
      <c r="U449" s="238"/>
      <c r="V449" s="59"/>
    </row>
    <row r="450" spans="1:22" x14ac:dyDescent="0.2">
      <c r="A450" s="115"/>
      <c r="B450" s="198"/>
      <c r="C450" s="197">
        <v>46</v>
      </c>
      <c r="D450" s="126">
        <v>212003</v>
      </c>
      <c r="E450" s="1" t="s">
        <v>91</v>
      </c>
      <c r="F450" s="199">
        <v>15830</v>
      </c>
      <c r="G450" s="202">
        <v>15496.8</v>
      </c>
      <c r="H450" s="202">
        <v>7920</v>
      </c>
      <c r="I450" s="267">
        <f>7800*1.15</f>
        <v>8970</v>
      </c>
      <c r="J450" s="267">
        <f>7800*1.15</f>
        <v>8970</v>
      </c>
      <c r="K450" s="196">
        <v>12296</v>
      </c>
      <c r="L450" s="200"/>
      <c r="M450" s="59"/>
      <c r="U450" s="238"/>
      <c r="V450" s="59"/>
    </row>
    <row r="451" spans="1:22" x14ac:dyDescent="0.2">
      <c r="A451" s="115"/>
      <c r="B451" s="198"/>
      <c r="C451" s="197">
        <v>42</v>
      </c>
      <c r="D451" s="97">
        <v>223001</v>
      </c>
      <c r="E451" s="201" t="s">
        <v>56</v>
      </c>
      <c r="F451" s="202">
        <v>85654.23</v>
      </c>
      <c r="G451" s="202">
        <v>96216.78</v>
      </c>
      <c r="H451" s="202">
        <f>128576.27</f>
        <v>128576.27</v>
      </c>
      <c r="I451" s="268">
        <f>110000*1.15</f>
        <v>126499.99999999999</v>
      </c>
      <c r="J451" s="268">
        <f>110000*1.15</f>
        <v>126499.99999999999</v>
      </c>
      <c r="K451" s="202">
        <v>118102.6</v>
      </c>
      <c r="L451" s="200"/>
      <c r="M451" s="59"/>
      <c r="U451" s="238"/>
      <c r="V451" s="59"/>
    </row>
    <row r="452" spans="1:22" x14ac:dyDescent="0.2">
      <c r="A452" s="115"/>
      <c r="B452" s="198"/>
      <c r="C452" s="197">
        <v>46</v>
      </c>
      <c r="D452" s="97">
        <v>223001</v>
      </c>
      <c r="E452" s="201" t="s">
        <v>46</v>
      </c>
      <c r="F452" s="202">
        <v>70000</v>
      </c>
      <c r="G452" s="199">
        <v>0</v>
      </c>
      <c r="H452" s="199">
        <v>0</v>
      </c>
      <c r="I452" s="268">
        <f>70000*1.15</f>
        <v>80500</v>
      </c>
      <c r="J452" s="268">
        <f>70000*1.15</f>
        <v>80500</v>
      </c>
      <c r="K452" s="202">
        <v>84112.59</v>
      </c>
      <c r="L452" s="203"/>
      <c r="M452" s="59"/>
      <c r="U452" s="238"/>
      <c r="V452" s="59"/>
    </row>
    <row r="453" spans="1:22" x14ac:dyDescent="0.2">
      <c r="A453" s="115"/>
      <c r="B453" s="198"/>
      <c r="C453" s="197">
        <v>42</v>
      </c>
      <c r="D453" s="97">
        <v>223001</v>
      </c>
      <c r="E453" s="201" t="s">
        <v>35</v>
      </c>
      <c r="F453" s="202">
        <v>0</v>
      </c>
      <c r="G453" s="202">
        <v>0</v>
      </c>
      <c r="H453" s="202">
        <v>0</v>
      </c>
      <c r="I453" s="268">
        <f>0*1.15</f>
        <v>0</v>
      </c>
      <c r="J453" s="268">
        <f>0*1.15</f>
        <v>0</v>
      </c>
      <c r="K453" s="202"/>
      <c r="L453" s="203"/>
      <c r="M453" s="59"/>
      <c r="U453" s="238"/>
      <c r="V453" s="59"/>
    </row>
    <row r="454" spans="1:22" x14ac:dyDescent="0.2">
      <c r="A454" s="115"/>
      <c r="B454" s="198"/>
      <c r="C454" s="197">
        <v>46</v>
      </c>
      <c r="D454" s="97">
        <v>223001</v>
      </c>
      <c r="E454" s="201" t="s">
        <v>44</v>
      </c>
      <c r="F454" s="202">
        <v>145109.79999999999</v>
      </c>
      <c r="G454" s="202">
        <v>250849.24</v>
      </c>
      <c r="H454" s="202">
        <v>169371.51</v>
      </c>
      <c r="I454" s="268">
        <f>100000*1.15</f>
        <v>114999.99999999999</v>
      </c>
      <c r="J454" s="268">
        <f>100000*1.15</f>
        <v>114999.99999999999</v>
      </c>
      <c r="K454" s="202">
        <v>115000</v>
      </c>
      <c r="L454" s="203"/>
      <c r="M454" s="59"/>
      <c r="U454" s="238"/>
      <c r="V454" s="59"/>
    </row>
    <row r="455" spans="1:22" x14ac:dyDescent="0.2">
      <c r="A455" s="115"/>
      <c r="B455" s="198"/>
      <c r="C455" s="197">
        <v>46</v>
      </c>
      <c r="D455" s="97">
        <v>223004</v>
      </c>
      <c r="E455" s="201" t="s">
        <v>80</v>
      </c>
      <c r="F455" s="202">
        <v>4392.58</v>
      </c>
      <c r="G455" s="199">
        <v>0</v>
      </c>
      <c r="H455" s="199">
        <v>380</v>
      </c>
      <c r="I455" s="269">
        <v>0</v>
      </c>
      <c r="J455" s="269">
        <v>0</v>
      </c>
      <c r="K455" s="227"/>
      <c r="L455" s="203"/>
      <c r="M455" s="59"/>
      <c r="U455" s="238"/>
      <c r="V455" s="59"/>
    </row>
    <row r="456" spans="1:22" x14ac:dyDescent="0.2">
      <c r="A456" s="115"/>
      <c r="B456" s="198"/>
      <c r="C456" s="295">
        <v>46</v>
      </c>
      <c r="D456" s="296">
        <v>222003</v>
      </c>
      <c r="E456" s="297" t="s">
        <v>196</v>
      </c>
      <c r="F456" s="202"/>
      <c r="G456" s="199"/>
      <c r="H456" s="199">
        <v>116.75</v>
      </c>
      <c r="I456" s="269"/>
      <c r="J456" s="269"/>
      <c r="K456" s="227"/>
      <c r="L456" s="203"/>
      <c r="M456" s="59"/>
      <c r="U456" s="238"/>
      <c r="V456" s="59"/>
    </row>
    <row r="457" spans="1:22" x14ac:dyDescent="0.2">
      <c r="A457" s="115"/>
      <c r="B457" s="198"/>
      <c r="C457" s="197">
        <v>41</v>
      </c>
      <c r="D457" s="97">
        <v>242</v>
      </c>
      <c r="E457" s="201" t="s">
        <v>74</v>
      </c>
      <c r="F457" s="204">
        <v>0</v>
      </c>
      <c r="G457" s="202">
        <v>0</v>
      </c>
      <c r="H457" s="202">
        <v>0</v>
      </c>
      <c r="I457" s="204">
        <v>0</v>
      </c>
      <c r="J457" s="204">
        <v>0</v>
      </c>
      <c r="K457" s="204">
        <v>0</v>
      </c>
      <c r="L457" s="203"/>
      <c r="M457" s="59"/>
      <c r="U457" s="238"/>
      <c r="V457" s="59"/>
    </row>
    <row r="458" spans="1:22" x14ac:dyDescent="0.2">
      <c r="A458" s="115"/>
      <c r="B458" s="198"/>
      <c r="C458" s="197">
        <v>46</v>
      </c>
      <c r="D458" s="97">
        <v>242</v>
      </c>
      <c r="E458" s="201" t="s">
        <v>74</v>
      </c>
      <c r="F458" s="204">
        <v>0</v>
      </c>
      <c r="G458" s="202">
        <v>0</v>
      </c>
      <c r="H458" s="199">
        <v>0</v>
      </c>
      <c r="I458" s="204">
        <v>0</v>
      </c>
      <c r="J458" s="204">
        <v>0</v>
      </c>
      <c r="K458" s="204">
        <v>0</v>
      </c>
      <c r="L458" s="203"/>
      <c r="M458" s="59"/>
      <c r="U458" s="238"/>
      <c r="V458" s="59"/>
    </row>
    <row r="459" spans="1:22" x14ac:dyDescent="0.2">
      <c r="A459" s="115"/>
      <c r="B459" s="198"/>
      <c r="C459" s="205" t="s">
        <v>99</v>
      </c>
      <c r="D459" s="97">
        <v>292</v>
      </c>
      <c r="E459" s="201" t="s">
        <v>76</v>
      </c>
      <c r="F459" s="204">
        <v>158.72999999999999</v>
      </c>
      <c r="G459" s="199">
        <v>1099.1099999999999</v>
      </c>
      <c r="H459" s="202">
        <v>388.65</v>
      </c>
      <c r="I459" s="204">
        <v>0</v>
      </c>
      <c r="J459" s="204">
        <v>0</v>
      </c>
      <c r="K459" s="204">
        <v>0</v>
      </c>
      <c r="L459" s="203"/>
      <c r="M459" s="59"/>
      <c r="U459" s="238"/>
      <c r="V459" s="59"/>
    </row>
    <row r="460" spans="1:22" x14ac:dyDescent="0.2">
      <c r="A460" s="115"/>
      <c r="B460" s="198"/>
      <c r="C460" s="205" t="s">
        <v>101</v>
      </c>
      <c r="D460" s="97">
        <v>291</v>
      </c>
      <c r="E460" s="201" t="s">
        <v>100</v>
      </c>
      <c r="F460" s="204">
        <v>0</v>
      </c>
      <c r="G460" s="202">
        <v>0</v>
      </c>
      <c r="H460" s="202">
        <v>0</v>
      </c>
      <c r="I460" s="204">
        <v>0</v>
      </c>
      <c r="J460" s="204">
        <v>0</v>
      </c>
      <c r="K460" s="204">
        <v>0</v>
      </c>
      <c r="L460" s="203"/>
      <c r="M460" s="59"/>
      <c r="U460" s="238"/>
      <c r="V460" s="59"/>
    </row>
    <row r="461" spans="1:22" x14ac:dyDescent="0.2">
      <c r="A461" s="115"/>
      <c r="B461" s="198"/>
      <c r="C461" s="197">
        <v>41</v>
      </c>
      <c r="D461" s="97">
        <v>322005</v>
      </c>
      <c r="E461" s="201" t="s">
        <v>36</v>
      </c>
      <c r="F461" s="202">
        <f>O41</f>
        <v>55000</v>
      </c>
      <c r="G461" s="202">
        <v>15000</v>
      </c>
      <c r="H461" s="199">
        <f t="shared" ref="H461" si="176">S50</f>
        <v>0</v>
      </c>
      <c r="I461" s="270">
        <v>5000</v>
      </c>
      <c r="J461" s="270">
        <v>5000</v>
      </c>
      <c r="K461" s="247">
        <v>5000</v>
      </c>
      <c r="L461" s="203"/>
      <c r="M461" s="59"/>
      <c r="U461" s="238"/>
      <c r="V461" s="59"/>
    </row>
    <row r="462" spans="1:22" x14ac:dyDescent="0.2">
      <c r="A462" s="115"/>
      <c r="B462" s="198"/>
      <c r="C462" s="197">
        <v>41</v>
      </c>
      <c r="D462" s="97">
        <v>312007</v>
      </c>
      <c r="E462" s="201" t="s">
        <v>53</v>
      </c>
      <c r="F462" s="202">
        <f>O39</f>
        <v>852000</v>
      </c>
      <c r="G462" s="199">
        <f>P39</f>
        <v>908919.99999999988</v>
      </c>
      <c r="H462" s="202">
        <v>973106.05</v>
      </c>
      <c r="I462" s="269">
        <v>1109071.8999999999</v>
      </c>
      <c r="J462" s="269">
        <f>1109071.9+60000</f>
        <v>1169071.8999999999</v>
      </c>
      <c r="K462" s="227">
        <v>1139071.8999999999</v>
      </c>
      <c r="L462" s="203"/>
      <c r="M462" s="59"/>
      <c r="U462" s="238"/>
      <c r="V462" s="59"/>
    </row>
    <row r="463" spans="1:22" x14ac:dyDescent="0.2">
      <c r="A463" s="115"/>
      <c r="B463" s="206"/>
      <c r="C463" s="205" t="s">
        <v>99</v>
      </c>
      <c r="D463" s="111">
        <v>456002</v>
      </c>
      <c r="E463" s="201" t="s">
        <v>102</v>
      </c>
      <c r="F463" s="202">
        <v>6876.68</v>
      </c>
      <c r="G463" s="202">
        <v>29610.27</v>
      </c>
      <c r="H463" s="202">
        <v>18647.87</v>
      </c>
      <c r="I463" s="202">
        <f t="shared" ref="I463:J463" si="177">I487</f>
        <v>0</v>
      </c>
      <c r="J463" s="202">
        <f t="shared" si="177"/>
        <v>0</v>
      </c>
      <c r="K463" s="202">
        <v>14163.57</v>
      </c>
      <c r="L463" s="203"/>
      <c r="M463" s="59"/>
      <c r="U463" s="238"/>
      <c r="V463" s="59"/>
    </row>
    <row r="464" spans="1:22" ht="15" thickBot="1" x14ac:dyDescent="0.25">
      <c r="A464" s="207"/>
      <c r="B464" s="208"/>
      <c r="C464" s="209">
        <v>41</v>
      </c>
      <c r="D464" s="210"/>
      <c r="E464" s="211" t="s">
        <v>93</v>
      </c>
      <c r="F464" s="212">
        <f t="shared" ref="F464:K464" si="178">F447+F461+F463</f>
        <v>1254674.5199999998</v>
      </c>
      <c r="G464" s="202">
        <f t="shared" si="178"/>
        <v>1341389.17</v>
      </c>
      <c r="H464" s="199">
        <f t="shared" si="178"/>
        <v>1326959.3900000001</v>
      </c>
      <c r="I464" s="271">
        <f t="shared" si="178"/>
        <v>1482416.8699999999</v>
      </c>
      <c r="J464" s="271">
        <f t="shared" si="178"/>
        <v>1542416.8699999999</v>
      </c>
      <c r="K464" s="213">
        <f t="shared" si="178"/>
        <v>1515015.66</v>
      </c>
      <c r="L464" s="203"/>
      <c r="M464" s="59"/>
      <c r="U464" s="238"/>
      <c r="V464" s="59"/>
    </row>
    <row r="465" spans="1:22" ht="15" thickBot="1" x14ac:dyDescent="0.25">
      <c r="A465" s="214"/>
      <c r="B465" s="215"/>
      <c r="C465" s="216"/>
      <c r="D465" s="217"/>
      <c r="E465" s="218" t="s">
        <v>54</v>
      </c>
      <c r="F465" s="219">
        <f t="shared" ref="F465:K465" si="179">F464-F6</f>
        <v>9788.9399999999441</v>
      </c>
      <c r="G465" s="219">
        <f t="shared" si="179"/>
        <v>6324.5200000000186</v>
      </c>
      <c r="H465" s="219">
        <f t="shared" si="179"/>
        <v>10095.5</v>
      </c>
      <c r="I465" s="272">
        <f t="shared" si="179"/>
        <v>-3.5000001080334187E-3</v>
      </c>
      <c r="J465" s="272">
        <f t="shared" si="179"/>
        <v>3.9999999571591616E-3</v>
      </c>
      <c r="K465" s="219">
        <f t="shared" si="179"/>
        <v>14327.820000000065</v>
      </c>
      <c r="L465" s="203"/>
      <c r="M465" s="59"/>
      <c r="U465" s="238"/>
      <c r="V465" s="59"/>
    </row>
    <row r="466" spans="1:22" x14ac:dyDescent="0.2">
      <c r="F466" s="220"/>
      <c r="G466" s="220"/>
      <c r="H466" s="220"/>
      <c r="K466" s="220"/>
      <c r="L466" s="220"/>
      <c r="M466" s="221"/>
    </row>
    <row r="467" spans="1:22" x14ac:dyDescent="0.2">
      <c r="B467" s="59"/>
      <c r="C467" s="59"/>
      <c r="D467" s="59"/>
      <c r="F467" s="59"/>
      <c r="G467" s="59"/>
      <c r="H467" s="59"/>
      <c r="I467" s="59"/>
      <c r="J467" s="59"/>
      <c r="K467" s="59"/>
      <c r="L467" s="59"/>
      <c r="M467" s="59"/>
      <c r="N467" s="65"/>
    </row>
    <row r="468" spans="1:22" x14ac:dyDescent="0.2">
      <c r="B468" s="59"/>
      <c r="C468" s="59"/>
      <c r="D468" s="59"/>
      <c r="F468" s="59"/>
      <c r="G468" s="59"/>
      <c r="H468" s="59"/>
      <c r="I468" s="59"/>
      <c r="J468" s="59"/>
      <c r="K468" s="59"/>
      <c r="L468" s="59"/>
      <c r="M468" s="59"/>
      <c r="N468" s="65"/>
    </row>
    <row r="469" spans="1:22" x14ac:dyDescent="0.2">
      <c r="B469" s="59"/>
      <c r="C469" s="59"/>
      <c r="D469" s="59"/>
      <c r="F469" s="59"/>
      <c r="G469" s="59"/>
      <c r="H469" s="59"/>
      <c r="I469" s="59"/>
      <c r="J469" s="59"/>
      <c r="K469" s="59"/>
      <c r="L469" s="59"/>
      <c r="M469" s="59"/>
      <c r="N469" s="65"/>
    </row>
    <row r="470" spans="1:22" x14ac:dyDescent="0.2">
      <c r="B470" s="59"/>
      <c r="C470" s="59"/>
      <c r="D470" s="59"/>
      <c r="F470" s="59"/>
      <c r="G470" s="59"/>
      <c r="H470" s="59"/>
      <c r="I470" s="59"/>
      <c r="J470" s="59"/>
      <c r="K470" s="59"/>
      <c r="L470" s="59"/>
      <c r="M470" s="59"/>
      <c r="N470" s="65"/>
    </row>
    <row r="471" spans="1:22" x14ac:dyDescent="0.2">
      <c r="B471" s="59"/>
      <c r="C471" s="59"/>
      <c r="D471" s="59"/>
      <c r="F471" s="59"/>
      <c r="G471" s="59"/>
      <c r="H471" s="59"/>
      <c r="I471" s="59"/>
      <c r="J471" s="59"/>
      <c r="K471" s="59"/>
      <c r="L471" s="59"/>
      <c r="M471" s="59"/>
      <c r="N471" s="65"/>
    </row>
    <row r="472" spans="1:22" x14ac:dyDescent="0.2">
      <c r="B472" s="59"/>
      <c r="C472" s="59"/>
      <c r="D472" s="59"/>
      <c r="F472" s="59"/>
      <c r="G472" s="59"/>
      <c r="H472" s="59"/>
      <c r="I472" s="59"/>
      <c r="J472" s="59"/>
      <c r="K472" s="59"/>
      <c r="L472" s="59"/>
      <c r="M472" s="59"/>
      <c r="N472" s="65"/>
    </row>
    <row r="473" spans="1:22" x14ac:dyDescent="0.2">
      <c r="F473" s="59"/>
      <c r="G473" s="59"/>
      <c r="H473" s="59"/>
      <c r="I473" s="59"/>
      <c r="J473" s="59"/>
      <c r="K473" s="59"/>
      <c r="L473" s="59"/>
      <c r="M473" s="59"/>
      <c r="N473" s="65"/>
    </row>
    <row r="474" spans="1:22" x14ac:dyDescent="0.2">
      <c r="F474" s="59"/>
      <c r="G474" s="59"/>
      <c r="H474" s="59"/>
      <c r="I474" s="59"/>
      <c r="J474" s="59"/>
      <c r="K474" s="59"/>
      <c r="L474" s="59"/>
      <c r="M474" s="59"/>
      <c r="N474" s="65"/>
    </row>
    <row r="475" spans="1:22" x14ac:dyDescent="0.2">
      <c r="F475" s="59"/>
      <c r="G475" s="59"/>
      <c r="H475" s="59"/>
      <c r="I475" s="59"/>
      <c r="J475" s="59"/>
      <c r="K475" s="59"/>
      <c r="L475" s="59"/>
      <c r="M475" s="59"/>
      <c r="N475" s="65"/>
    </row>
    <row r="476" spans="1:22" x14ac:dyDescent="0.2">
      <c r="B476" s="59"/>
      <c r="C476" s="59"/>
      <c r="D476" s="59"/>
      <c r="F476" s="59"/>
      <c r="G476" s="59"/>
      <c r="H476" s="59"/>
      <c r="I476" s="59"/>
      <c r="J476" s="59"/>
      <c r="K476" s="59"/>
      <c r="L476" s="59"/>
      <c r="M476" s="59"/>
      <c r="N476" s="65"/>
    </row>
    <row r="477" spans="1:22" x14ac:dyDescent="0.2">
      <c r="F477" s="59"/>
      <c r="G477" s="59"/>
      <c r="H477" s="59"/>
      <c r="I477" s="59"/>
      <c r="J477" s="59"/>
      <c r="K477" s="59"/>
      <c r="L477" s="59"/>
      <c r="M477" s="59"/>
      <c r="N477" s="65"/>
    </row>
    <row r="478" spans="1:22" x14ac:dyDescent="0.2">
      <c r="F478" s="59"/>
      <c r="G478" s="59"/>
      <c r="H478" s="59"/>
      <c r="I478" s="59"/>
      <c r="J478" s="59"/>
      <c r="K478" s="59"/>
      <c r="L478" s="59"/>
      <c r="M478" s="59"/>
      <c r="N478" s="65"/>
    </row>
    <row r="479" spans="1:22" x14ac:dyDescent="0.2">
      <c r="B479" s="59"/>
      <c r="C479" s="59"/>
      <c r="D479" s="59"/>
      <c r="F479" s="59"/>
      <c r="G479" s="59"/>
      <c r="H479" s="59"/>
      <c r="I479" s="59"/>
      <c r="J479" s="59"/>
      <c r="K479" s="59"/>
      <c r="L479" s="59"/>
      <c r="M479" s="59"/>
    </row>
    <row r="480" spans="1:22" x14ac:dyDescent="0.2">
      <c r="B480" s="59"/>
      <c r="C480" s="59"/>
      <c r="D480" s="59"/>
      <c r="F480" s="59"/>
      <c r="G480" s="59"/>
      <c r="H480" s="59"/>
      <c r="I480" s="59"/>
      <c r="J480" s="59"/>
      <c r="K480" s="59"/>
      <c r="L480" s="59"/>
      <c r="M480" s="59"/>
    </row>
    <row r="481" spans="2:13" x14ac:dyDescent="0.2">
      <c r="B481" s="59"/>
      <c r="C481" s="59"/>
      <c r="D481" s="59"/>
      <c r="F481" s="59"/>
      <c r="G481" s="59"/>
      <c r="H481" s="59"/>
      <c r="I481" s="59"/>
      <c r="J481" s="59"/>
      <c r="K481" s="59"/>
      <c r="L481" s="59"/>
      <c r="M481" s="59"/>
    </row>
    <row r="482" spans="2:13" x14ac:dyDescent="0.2">
      <c r="B482" s="59"/>
      <c r="C482" s="59"/>
      <c r="D482" s="59"/>
      <c r="F482" s="59"/>
      <c r="G482" s="59"/>
      <c r="H482" s="59"/>
      <c r="I482" s="59"/>
      <c r="J482" s="59"/>
      <c r="K482" s="59"/>
      <c r="L482" s="59"/>
      <c r="M482" s="59"/>
    </row>
    <row r="483" spans="2:13" x14ac:dyDescent="0.2">
      <c r="B483" s="59"/>
      <c r="C483" s="59"/>
      <c r="D483" s="59"/>
      <c r="F483" s="59"/>
      <c r="G483" s="59"/>
      <c r="H483" s="59"/>
      <c r="I483" s="59"/>
      <c r="J483" s="59"/>
      <c r="K483" s="59"/>
      <c r="L483" s="59"/>
      <c r="M483" s="59"/>
    </row>
  </sheetData>
  <mergeCells count="2">
    <mergeCell ref="A1:K1"/>
    <mergeCell ref="M6:T6"/>
  </mergeCells>
  <phoneticPr fontId="4" type="noConversion"/>
  <pageMargins left="0.7" right="0.7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Sumár</vt:lpstr>
      <vt:lpstr>Sumár!Oblasť_tlače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2024-05-12T20:37:20Z</dcterms:modified>
</cp:coreProperties>
</file>