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niela.drahosova\Desktop\MsR finál2019\"/>
    </mc:Choice>
  </mc:AlternateContent>
  <xr:revisionPtr revIDLastSave="0" documentId="13_ncr:1_{66BC0B47-6BA8-424B-970B-F68A273C92A8}" xr6:coauthVersionLast="40" xr6:coauthVersionMax="40" xr10:uidLastSave="{00000000-0000-0000-0000-000000000000}"/>
  <bookViews>
    <workbookView xWindow="-108" yWindow="-108" windowWidth="23256" windowHeight="12576" xr2:uid="{00000000-000D-0000-FFFF-FFFF00000000}"/>
  </bookViews>
  <sheets>
    <sheet name="Hárok1" sheetId="1" r:id="rId1"/>
    <sheet name="Hárok2" sheetId="2" r:id="rId2"/>
    <sheet name="Hárok3" sheetId="3" r:id="rId3"/>
  </sheets>
  <calcPr calcId="181029"/>
</workbook>
</file>

<file path=xl/calcChain.xml><?xml version="1.0" encoding="utf-8"?>
<calcChain xmlns="http://schemas.openxmlformats.org/spreadsheetml/2006/main">
  <c r="E34" i="1" l="1"/>
  <c r="E59" i="1"/>
  <c r="E19" i="1" s="1"/>
  <c r="F59" i="1"/>
  <c r="F19" i="1" s="1"/>
  <c r="G59" i="1"/>
  <c r="G19" i="1" s="1"/>
  <c r="H59" i="1"/>
  <c r="H19" i="1" s="1"/>
  <c r="I59" i="1"/>
  <c r="I19" i="1" s="1"/>
  <c r="J59" i="1"/>
  <c r="J19" i="1" s="1"/>
  <c r="K59" i="1"/>
  <c r="D59" i="1"/>
  <c r="D19" i="1" s="1"/>
  <c r="K19" i="1" l="1"/>
  <c r="H20" i="1" l="1"/>
  <c r="E16" i="1"/>
  <c r="E5" i="1" s="1"/>
  <c r="E22" i="1" s="1"/>
  <c r="D16" i="1"/>
  <c r="J7" i="1"/>
  <c r="K7" i="1" s="1"/>
  <c r="I7" i="1"/>
  <c r="H7" i="1"/>
  <c r="D5" i="1"/>
  <c r="D21" i="1" s="1"/>
  <c r="D22" i="1" s="1"/>
  <c r="J56" i="1"/>
  <c r="J55" i="1" s="1"/>
  <c r="K55" i="1"/>
  <c r="I55" i="1"/>
  <c r="H55" i="1"/>
  <c r="G55" i="1"/>
  <c r="F55" i="1"/>
  <c r="E55" i="1"/>
  <c r="D55" i="1"/>
  <c r="J53" i="1"/>
  <c r="K53" i="1" s="1"/>
  <c r="D53" i="1"/>
  <c r="J51" i="1"/>
  <c r="K51" i="1" s="1"/>
  <c r="H51" i="1"/>
  <c r="G51" i="1"/>
  <c r="G45" i="1" s="1"/>
  <c r="F51" i="1"/>
  <c r="F45" i="1" s="1"/>
  <c r="D51" i="1"/>
  <c r="J50" i="1"/>
  <c r="I49" i="1"/>
  <c r="J49" i="1" s="1"/>
  <c r="K49" i="1" s="1"/>
  <c r="H49" i="1"/>
  <c r="G49" i="1"/>
  <c r="I48" i="1"/>
  <c r="J48" i="1" s="1"/>
  <c r="D48" i="1"/>
  <c r="I47" i="1"/>
  <c r="D47" i="1"/>
  <c r="I46" i="1"/>
  <c r="J46" i="1" s="1"/>
  <c r="K46" i="1" s="1"/>
  <c r="D46" i="1"/>
  <c r="E45" i="1"/>
  <c r="I43" i="1"/>
  <c r="J43" i="1" s="1"/>
  <c r="J42" i="1"/>
  <c r="K42" i="1" s="1"/>
  <c r="J41" i="1"/>
  <c r="K41" i="1" s="1"/>
  <c r="D41" i="1"/>
  <c r="D40" i="1"/>
  <c r="H39" i="1"/>
  <c r="G39" i="1"/>
  <c r="F39" i="1"/>
  <c r="E39" i="1"/>
  <c r="I38" i="1"/>
  <c r="D38" i="1"/>
  <c r="I37" i="1"/>
  <c r="I33" i="1" s="1"/>
  <c r="D37" i="1"/>
  <c r="I36" i="1"/>
  <c r="D35" i="1"/>
  <c r="D34" i="1"/>
  <c r="K33" i="1"/>
  <c r="J33" i="1"/>
  <c r="H33" i="1"/>
  <c r="G33" i="1"/>
  <c r="F33" i="1"/>
  <c r="E33" i="1"/>
  <c r="H32" i="1"/>
  <c r="H29" i="1" s="1"/>
  <c r="G32" i="1"/>
  <c r="G29" i="1" s="1"/>
  <c r="J31" i="1"/>
  <c r="I29" i="1"/>
  <c r="K29" i="1"/>
  <c r="F29" i="1"/>
  <c r="E29" i="1"/>
  <c r="D29" i="1"/>
  <c r="D39" i="1" l="1"/>
  <c r="D45" i="1"/>
  <c r="D33" i="1"/>
  <c r="I45" i="1"/>
  <c r="I39" i="1"/>
  <c r="J29" i="1"/>
  <c r="H45" i="1"/>
  <c r="H57" i="1" s="1"/>
  <c r="H64" i="1" s="1"/>
  <c r="D57" i="1"/>
  <c r="D64" i="1" s="1"/>
  <c r="F57" i="1"/>
  <c r="F64" i="1" s="1"/>
  <c r="G57" i="1"/>
  <c r="G64" i="1" s="1"/>
  <c r="E57" i="1"/>
  <c r="K39" i="1"/>
  <c r="J45" i="1"/>
  <c r="E21" i="1"/>
  <c r="K45" i="1"/>
  <c r="J39" i="1"/>
  <c r="I57" i="1" l="1"/>
  <c r="I64" i="1" s="1"/>
  <c r="E64" i="1"/>
  <c r="J57" i="1"/>
  <c r="J64" i="1" s="1"/>
  <c r="K57" i="1"/>
  <c r="K64" i="1" s="1"/>
  <c r="I18" i="1"/>
  <c r="I5" i="1" s="1"/>
  <c r="I21" i="1" s="1"/>
  <c r="G18" i="1"/>
  <c r="G5" i="1" s="1"/>
  <c r="G21" i="1" s="1"/>
  <c r="F18" i="1"/>
  <c r="F5" i="1" s="1"/>
  <c r="F21" i="1" s="1"/>
  <c r="H18" i="1"/>
  <c r="H5" i="1" s="1"/>
  <c r="H21" i="1" s="1"/>
  <c r="K18" i="1" l="1"/>
  <c r="K5" i="1" s="1"/>
  <c r="K21" i="1" s="1"/>
  <c r="J18" i="1"/>
  <c r="J5" i="1" s="1"/>
  <c r="J21" i="1" s="1"/>
</calcChain>
</file>

<file path=xl/sharedStrings.xml><?xml version="1.0" encoding="utf-8"?>
<sst xmlns="http://schemas.openxmlformats.org/spreadsheetml/2006/main" count="107" uniqueCount="81">
  <si>
    <t>Kód</t>
  </si>
  <si>
    <t>Ekonomická</t>
  </si>
  <si>
    <t>Celkové príjmy</t>
  </si>
  <si>
    <t>Skutočnosť</t>
  </si>
  <si>
    <t>Skutočnosž</t>
  </si>
  <si>
    <t>Schválený rozpočet</t>
  </si>
  <si>
    <t>Rozpočet po zmenách</t>
  </si>
  <si>
    <t>Očakávaná skutočnosť</t>
  </si>
  <si>
    <t>Návrh rozpočtu</t>
  </si>
  <si>
    <t>zdroja</t>
  </si>
  <si>
    <t>klasifikácia</t>
  </si>
  <si>
    <t>Ukazovateľ</t>
  </si>
  <si>
    <t>rok 2016</t>
  </si>
  <si>
    <t>rok 2017</t>
  </si>
  <si>
    <t>rok 2018</t>
  </si>
  <si>
    <t>rok 2019</t>
  </si>
  <si>
    <t>rok 2020</t>
  </si>
  <si>
    <t>rok 2021</t>
  </si>
  <si>
    <t>Z prenajatých pozemkov - pohrebníctvo</t>
  </si>
  <si>
    <t>Z prenajatých budov, priestorov a objektov</t>
  </si>
  <si>
    <t>Tržby z predaja služieb a mat.</t>
  </si>
  <si>
    <t>Tržby za splašky, čistenie, kosenie za N</t>
  </si>
  <si>
    <t>Tržby za vyjadrovanie k PD</t>
  </si>
  <si>
    <t xml:space="preserve">Tržby za predaj služieb </t>
  </si>
  <si>
    <t>Tržby za majetok</t>
  </si>
  <si>
    <t>Úroky</t>
  </si>
  <si>
    <t>41/42</t>
  </si>
  <si>
    <t>Vratky</t>
  </si>
  <si>
    <t>41/46</t>
  </si>
  <si>
    <t>od nefinančnej PO</t>
  </si>
  <si>
    <t>Kapitálový transfer z MsÚ</t>
  </si>
  <si>
    <t>Bežný transfer z MsÚ</t>
  </si>
  <si>
    <t>Finančné operácie príjmové</t>
  </si>
  <si>
    <t>Príjmy celkom</t>
  </si>
  <si>
    <t>Výsledok rozpočtového hospodárenia</t>
  </si>
  <si>
    <t>Upravený rozpočet</t>
  </si>
  <si>
    <t>Vecné plnenie pre MsÚ</t>
  </si>
  <si>
    <t>01.3.3.</t>
  </si>
  <si>
    <t>4.5.-správa cintorínov</t>
  </si>
  <si>
    <t>údržba cintorínov</t>
  </si>
  <si>
    <t>odvoz a zneškodnenie odpadu</t>
  </si>
  <si>
    <t>prevádzka pohrebísk</t>
  </si>
  <si>
    <t>05.1.0.</t>
  </si>
  <si>
    <t>6.1. - Odpadové hospodárstvo</t>
  </si>
  <si>
    <t>zber a odvoz TKO + auto</t>
  </si>
  <si>
    <t>zvoz separovaného odpadu</t>
  </si>
  <si>
    <t>prevádzka zberného dvora</t>
  </si>
  <si>
    <t>zber a odvoz z mestskej zelene, ver. priest.</t>
  </si>
  <si>
    <t>zametanie, údržba miestnych komunikácií, chodníkov a verej. priestranstiev</t>
  </si>
  <si>
    <t>04.5.1.</t>
  </si>
  <si>
    <t>7.4. - Pozemné komunikácie</t>
  </si>
  <si>
    <t>zimná údržba - výkony, hotovosť, mat., auto s radlicou</t>
  </si>
  <si>
    <t>údržba chodníkov, cyklotrás, letná údržba</t>
  </si>
  <si>
    <t>údržba dažďových vpustí, naplavenín</t>
  </si>
  <si>
    <t>oprava dopravného značenia, MK</t>
  </si>
  <si>
    <t>komunikácie - výtlky, úpravy</t>
  </si>
  <si>
    <t>05.4.0.</t>
  </si>
  <si>
    <t>11.9. - Prostredie pre život</t>
  </si>
  <si>
    <t xml:space="preserve">kosenie, údržba VP, bez/s náradím </t>
  </si>
  <si>
    <t>údržba kvetín, výsadba</t>
  </si>
  <si>
    <t>údržba zelene a orezy</t>
  </si>
  <si>
    <t>údržba VO</t>
  </si>
  <si>
    <t>údržba mestského rozhlasu</t>
  </si>
  <si>
    <t>údržba majetku mesta</t>
  </si>
  <si>
    <t>údržba majetku mesta - borník</t>
  </si>
  <si>
    <t>technické zabezpečenie podujatí</t>
  </si>
  <si>
    <t>zvýšenie príspevku</t>
  </si>
  <si>
    <t>04.9.0.</t>
  </si>
  <si>
    <t>13.9.2. - rozvoz stravy dôchodcom</t>
  </si>
  <si>
    <t>rozvoz</t>
  </si>
  <si>
    <t>Spolu za vecné plnenie - BR</t>
  </si>
  <si>
    <t>Pozemné komunikácie - dodávka</t>
  </si>
  <si>
    <t>Príspevok od mesta celkom</t>
  </si>
  <si>
    <t>Funkčná</t>
  </si>
  <si>
    <t>Vecné plnenie</t>
  </si>
  <si>
    <t>Bežné príjmy, v tom:</t>
  </si>
  <si>
    <t>Nadobudnutie špecial. auta na zvoz odpadu - splátkový program</t>
  </si>
  <si>
    <t>Kapitálový transfer</t>
  </si>
  <si>
    <t>Investície</t>
  </si>
  <si>
    <t xml:space="preserve">Nadobudnutie plošiny </t>
  </si>
  <si>
    <t xml:space="preserve">VPS rozpočet na roky 2019 - 2021   schválený rozpočet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</si>
</sst>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[$€-1]"/>
    <numFmt numFmtId="165" formatCode="#,##0.00\ &quot;€&quot;"/>
  </numFmts>
  <fonts count="14" x14ac:knownFonts="1">
    <font>
      <sz val="11"/>
      <color theme="1"/>
      <name val="Calibri"/>
      <family val="2"/>
      <charset val="238"/>
      <scheme val="minor"/>
    </font>
    <font>
      <b/>
      <sz val="8"/>
      <name val="Arial"/>
      <family val="2"/>
      <charset val="238"/>
    </font>
    <font>
      <b/>
      <sz val="9"/>
      <name val="Arial"/>
      <family val="2"/>
      <charset val="238"/>
    </font>
    <font>
      <b/>
      <sz val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8"/>
      <color theme="1"/>
      <name val="Calibri"/>
      <family val="2"/>
      <scheme val="minor"/>
    </font>
    <font>
      <i/>
      <sz val="8"/>
      <name val="Calibri"/>
      <family val="2"/>
      <charset val="238"/>
      <scheme val="minor"/>
    </font>
    <font>
      <b/>
      <sz val="8"/>
      <color rgb="FFC00000"/>
      <name val="Calibri"/>
      <family val="2"/>
      <charset val="238"/>
      <scheme val="minor"/>
    </font>
    <font>
      <sz val="8"/>
      <color rgb="FF0070C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1" fillId="2" borderId="10" xfId="0" applyFont="1" applyFill="1" applyBorder="1" applyAlignment="1">
      <alignment horizontal="center"/>
    </xf>
    <xf numFmtId="1" fontId="3" fillId="2" borderId="11" xfId="0" applyNumberFormat="1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14" fontId="3" fillId="2" borderId="14" xfId="0" applyNumberFormat="1" applyFont="1" applyFill="1" applyBorder="1" applyAlignment="1">
      <alignment horizontal="center"/>
    </xf>
    <xf numFmtId="14" fontId="3" fillId="2" borderId="15" xfId="0" applyNumberFormat="1" applyFont="1" applyFill="1" applyBorder="1" applyAlignment="1">
      <alignment horizontal="center"/>
    </xf>
    <xf numFmtId="0" fontId="5" fillId="4" borderId="18" xfId="0" applyFont="1" applyFill="1" applyBorder="1"/>
    <xf numFmtId="0" fontId="5" fillId="4" borderId="19" xfId="0" applyFont="1" applyFill="1" applyBorder="1"/>
    <xf numFmtId="4" fontId="5" fillId="4" borderId="11" xfId="0" applyNumberFormat="1" applyFont="1" applyFill="1" applyBorder="1"/>
    <xf numFmtId="0" fontId="6" fillId="0" borderId="20" xfId="0" applyFont="1" applyBorder="1"/>
    <xf numFmtId="0" fontId="6" fillId="0" borderId="2" xfId="0" applyFont="1" applyFill="1" applyBorder="1"/>
    <xf numFmtId="4" fontId="6" fillId="0" borderId="1" xfId="0" applyNumberFormat="1" applyFont="1" applyFill="1" applyBorder="1"/>
    <xf numFmtId="4" fontId="6" fillId="0" borderId="1" xfId="0" applyNumberFormat="1" applyFont="1" applyBorder="1"/>
    <xf numFmtId="0" fontId="5" fillId="0" borderId="20" xfId="0" applyFont="1" applyBorder="1"/>
    <xf numFmtId="0" fontId="5" fillId="0" borderId="2" xfId="0" applyFont="1" applyFill="1" applyBorder="1"/>
    <xf numFmtId="4" fontId="5" fillId="0" borderId="1" xfId="0" applyNumberFormat="1" applyFont="1" applyFill="1" applyBorder="1"/>
    <xf numFmtId="164" fontId="6" fillId="0" borderId="1" xfId="0" applyNumberFormat="1" applyFont="1" applyBorder="1"/>
    <xf numFmtId="0" fontId="6" fillId="0" borderId="2" xfId="0" applyFont="1" applyFill="1" applyBorder="1" applyAlignment="1">
      <alignment wrapText="1"/>
    </xf>
    <xf numFmtId="4" fontId="6" fillId="0" borderId="1" xfId="0" applyNumberFormat="1" applyFont="1" applyFill="1" applyBorder="1" applyAlignment="1">
      <alignment wrapText="1"/>
    </xf>
    <xf numFmtId="0" fontId="6" fillId="0" borderId="2" xfId="0" applyFont="1" applyBorder="1"/>
    <xf numFmtId="2" fontId="6" fillId="0" borderId="1" xfId="0" applyNumberFormat="1" applyFont="1" applyBorder="1"/>
    <xf numFmtId="0" fontId="5" fillId="0" borderId="2" xfId="0" applyFont="1" applyBorder="1"/>
    <xf numFmtId="4" fontId="5" fillId="0" borderId="1" xfId="0" applyNumberFormat="1" applyFont="1" applyBorder="1"/>
    <xf numFmtId="0" fontId="6" fillId="0" borderId="1" xfId="0" applyFont="1" applyBorder="1"/>
    <xf numFmtId="0" fontId="5" fillId="0" borderId="21" xfId="0" applyFont="1" applyBorder="1"/>
    <xf numFmtId="0" fontId="6" fillId="0" borderId="21" xfId="0" applyFont="1" applyBorder="1"/>
    <xf numFmtId="0" fontId="6" fillId="0" borderId="22" xfId="0" applyFont="1" applyBorder="1"/>
    <xf numFmtId="4" fontId="6" fillId="0" borderId="23" xfId="0" applyNumberFormat="1" applyFont="1" applyBorder="1"/>
    <xf numFmtId="0" fontId="0" fillId="3" borderId="24" xfId="0" applyFill="1" applyBorder="1"/>
    <xf numFmtId="0" fontId="5" fillId="3" borderId="25" xfId="0" applyFont="1" applyFill="1" applyBorder="1"/>
    <xf numFmtId="4" fontId="5" fillId="3" borderId="26" xfId="0" applyNumberFormat="1" applyFont="1" applyFill="1" applyBorder="1"/>
    <xf numFmtId="4" fontId="5" fillId="3" borderId="27" xfId="0" applyNumberFormat="1" applyFont="1" applyFill="1" applyBorder="1"/>
    <xf numFmtId="0" fontId="0" fillId="0" borderId="28" xfId="0" applyBorder="1"/>
    <xf numFmtId="0" fontId="6" fillId="0" borderId="13" xfId="0" applyFont="1" applyBorder="1"/>
    <xf numFmtId="4" fontId="6" fillId="0" borderId="29" xfId="0" applyNumberFormat="1" applyFont="1" applyBorder="1"/>
    <xf numFmtId="4" fontId="6" fillId="0" borderId="30" xfId="0" applyNumberFormat="1" applyFont="1" applyBorder="1"/>
    <xf numFmtId="0" fontId="5" fillId="0" borderId="31" xfId="0" applyFont="1" applyBorder="1"/>
    <xf numFmtId="0" fontId="5" fillId="0" borderId="13" xfId="0" applyFont="1" applyBorder="1" applyAlignment="1">
      <alignment wrapText="1"/>
    </xf>
    <xf numFmtId="4" fontId="6" fillId="0" borderId="32" xfId="0" applyNumberFormat="1" applyFont="1" applyBorder="1"/>
    <xf numFmtId="0" fontId="6" fillId="4" borderId="24" xfId="0" applyFont="1" applyFill="1" applyBorder="1"/>
    <xf numFmtId="0" fontId="5" fillId="4" borderId="25" xfId="0" applyFont="1" applyFill="1" applyBorder="1"/>
    <xf numFmtId="4" fontId="6" fillId="4" borderId="26" xfId="0" applyNumberFormat="1" applyFont="1" applyFill="1" applyBorder="1"/>
    <xf numFmtId="4" fontId="6" fillId="4" borderId="27" xfId="0" applyNumberFormat="1" applyFont="1" applyFill="1" applyBorder="1"/>
    <xf numFmtId="0" fontId="6" fillId="5" borderId="33" xfId="0" applyFont="1" applyFill="1" applyBorder="1"/>
    <xf numFmtId="0" fontId="5" fillId="5" borderId="25" xfId="0" applyFont="1" applyFill="1" applyBorder="1"/>
    <xf numFmtId="4" fontId="5" fillId="5" borderId="26" xfId="0" applyNumberFormat="1" applyFont="1" applyFill="1" applyBorder="1"/>
    <xf numFmtId="0" fontId="7" fillId="6" borderId="1" xfId="0" applyNumberFormat="1" applyFont="1" applyFill="1" applyBorder="1"/>
    <xf numFmtId="0" fontId="7" fillId="6" borderId="1" xfId="0" applyFont="1" applyFill="1" applyBorder="1"/>
    <xf numFmtId="0" fontId="7" fillId="6" borderId="2" xfId="0" applyFont="1" applyFill="1" applyBorder="1" applyAlignment="1">
      <alignment horizontal="center"/>
    </xf>
    <xf numFmtId="0" fontId="7" fillId="6" borderId="1" xfId="0" applyFont="1" applyFill="1" applyBorder="1" applyAlignment="1">
      <alignment horizontal="center"/>
    </xf>
    <xf numFmtId="0" fontId="8" fillId="6" borderId="3" xfId="0" applyNumberFormat="1" applyFont="1" applyFill="1" applyBorder="1"/>
    <xf numFmtId="0" fontId="8" fillId="6" borderId="3" xfId="0" applyFont="1" applyFill="1" applyBorder="1"/>
    <xf numFmtId="0" fontId="7" fillId="6" borderId="4" xfId="0" applyFont="1" applyFill="1" applyBorder="1" applyAlignment="1">
      <alignment horizontal="center"/>
    </xf>
    <xf numFmtId="0" fontId="7" fillId="6" borderId="3" xfId="0" applyFont="1" applyFill="1" applyBorder="1" applyAlignment="1">
      <alignment horizontal="center"/>
    </xf>
    <xf numFmtId="0" fontId="9" fillId="0" borderId="1" xfId="0" applyNumberFormat="1" applyFont="1" applyBorder="1"/>
    <xf numFmtId="0" fontId="7" fillId="4" borderId="1" xfId="0" applyNumberFormat="1" applyFont="1" applyFill="1" applyBorder="1"/>
    <xf numFmtId="0" fontId="8" fillId="4" borderId="1" xfId="0" applyFont="1" applyFill="1" applyBorder="1"/>
    <xf numFmtId="165" fontId="10" fillId="4" borderId="1" xfId="0" applyNumberFormat="1" applyFont="1" applyFill="1" applyBorder="1" applyAlignment="1">
      <alignment horizontal="center"/>
    </xf>
    <xf numFmtId="0" fontId="8" fillId="0" borderId="1" xfId="0" applyNumberFormat="1" applyFont="1" applyBorder="1"/>
    <xf numFmtId="0" fontId="8" fillId="0" borderId="1" xfId="0" applyFont="1" applyBorder="1"/>
    <xf numFmtId="165" fontId="7" fillId="0" borderId="1" xfId="0" applyNumberFormat="1" applyFont="1" applyFill="1" applyBorder="1" applyAlignment="1">
      <alignment horizontal="center"/>
    </xf>
    <xf numFmtId="0" fontId="9" fillId="0" borderId="1" xfId="0" applyNumberFormat="1" applyFont="1" applyBorder="1" applyAlignment="1">
      <alignment horizontal="right"/>
    </xf>
    <xf numFmtId="0" fontId="8" fillId="7" borderId="1" xfId="0" applyNumberFormat="1" applyFont="1" applyFill="1" applyBorder="1"/>
    <xf numFmtId="0" fontId="9" fillId="0" borderId="5" xfId="0" applyNumberFormat="1" applyFont="1" applyBorder="1"/>
    <xf numFmtId="0" fontId="11" fillId="0" borderId="6" xfId="0" applyNumberFormat="1" applyFont="1" applyBorder="1"/>
    <xf numFmtId="0" fontId="3" fillId="0" borderId="6" xfId="0" applyFont="1" applyBorder="1"/>
    <xf numFmtId="165" fontId="3" fillId="0" borderId="7" xfId="0" applyNumberFormat="1" applyFont="1" applyFill="1" applyBorder="1" applyAlignment="1">
      <alignment horizontal="center"/>
    </xf>
    <xf numFmtId="0" fontId="8" fillId="0" borderId="8" xfId="0" applyNumberFormat="1" applyFont="1" applyBorder="1"/>
    <xf numFmtId="0" fontId="8" fillId="0" borderId="8" xfId="0" applyFont="1" applyBorder="1"/>
    <xf numFmtId="0" fontId="8" fillId="0" borderId="9" xfId="0" applyFont="1" applyBorder="1"/>
    <xf numFmtId="0" fontId="12" fillId="0" borderId="9" xfId="0" applyFont="1" applyFill="1" applyBorder="1" applyAlignment="1">
      <alignment horizontal="center"/>
    </xf>
    <xf numFmtId="4" fontId="0" fillId="0" borderId="0" xfId="0" applyNumberFormat="1"/>
    <xf numFmtId="0" fontId="13" fillId="0" borderId="0" xfId="0" applyFont="1"/>
    <xf numFmtId="0" fontId="4" fillId="3" borderId="16" xfId="0" applyFont="1" applyFill="1" applyBorder="1" applyAlignment="1">
      <alignment horizontal="center"/>
    </xf>
    <xf numFmtId="0" fontId="4" fillId="3" borderId="17" xfId="0" applyFont="1" applyFill="1" applyBorder="1" applyAlignment="1">
      <alignment horizontal="center"/>
    </xf>
    <xf numFmtId="0" fontId="4" fillId="3" borderId="35" xfId="0" applyFont="1" applyFill="1" applyBorder="1" applyAlignment="1">
      <alignment horizontal="center"/>
    </xf>
    <xf numFmtId="0" fontId="2" fillId="2" borderId="34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1" fontId="3" fillId="2" borderId="36" xfId="0" applyNumberFormat="1" applyFont="1" applyFill="1" applyBorder="1" applyAlignment="1">
      <alignment horizontal="center"/>
    </xf>
    <xf numFmtId="14" fontId="3" fillId="2" borderId="37" xfId="0" applyNumberFormat="1" applyFont="1" applyFill="1" applyBorder="1" applyAlignment="1">
      <alignment horizontal="center"/>
    </xf>
    <xf numFmtId="1" fontId="3" fillId="2" borderId="19" xfId="0" applyNumberFormat="1" applyFont="1" applyFill="1" applyBorder="1" applyAlignment="1">
      <alignment horizontal="center"/>
    </xf>
    <xf numFmtId="14" fontId="3" fillId="2" borderId="38" xfId="0" applyNumberFormat="1" applyFont="1" applyFill="1" applyBorder="1" applyAlignment="1">
      <alignment horizontal="center"/>
    </xf>
    <xf numFmtId="0" fontId="4" fillId="3" borderId="39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66"/>
  <sheetViews>
    <sheetView tabSelected="1" workbookViewId="0">
      <selection activeCell="J25" sqref="J25"/>
    </sheetView>
  </sheetViews>
  <sheetFormatPr defaultRowHeight="14.4" x14ac:dyDescent="0.3"/>
  <cols>
    <col min="2" max="2" width="9.44140625" customWidth="1"/>
    <col min="3" max="3" width="33.88671875" customWidth="1"/>
    <col min="4" max="4" width="16" customWidth="1"/>
    <col min="5" max="13" width="16.6640625" customWidth="1"/>
    <col min="14" max="14" width="12.6640625" customWidth="1"/>
  </cols>
  <sheetData>
    <row r="1" spans="1:11" ht="18" x14ac:dyDescent="0.35">
      <c r="A1" s="72" t="s">
        <v>80</v>
      </c>
    </row>
    <row r="3" spans="1:11" x14ac:dyDescent="0.3">
      <c r="A3" s="46" t="s">
        <v>0</v>
      </c>
      <c r="B3" s="46" t="s">
        <v>1</v>
      </c>
      <c r="C3" s="47" t="s">
        <v>2</v>
      </c>
      <c r="D3" s="48" t="s">
        <v>3</v>
      </c>
      <c r="E3" s="48" t="s">
        <v>4</v>
      </c>
      <c r="F3" s="48" t="s">
        <v>5</v>
      </c>
      <c r="G3" s="48" t="s">
        <v>6</v>
      </c>
      <c r="H3" s="48" t="s">
        <v>7</v>
      </c>
      <c r="I3" s="48" t="s">
        <v>5</v>
      </c>
      <c r="J3" s="49" t="s">
        <v>8</v>
      </c>
      <c r="K3" s="49" t="s">
        <v>8</v>
      </c>
    </row>
    <row r="4" spans="1:11" ht="15" thickBot="1" x14ac:dyDescent="0.35">
      <c r="A4" s="50" t="s">
        <v>9</v>
      </c>
      <c r="B4" s="50" t="s">
        <v>10</v>
      </c>
      <c r="C4" s="51" t="s">
        <v>11</v>
      </c>
      <c r="D4" s="52" t="s">
        <v>12</v>
      </c>
      <c r="E4" s="52" t="s">
        <v>13</v>
      </c>
      <c r="F4" s="52" t="s">
        <v>14</v>
      </c>
      <c r="G4" s="52" t="s">
        <v>14</v>
      </c>
      <c r="H4" s="52" t="s">
        <v>14</v>
      </c>
      <c r="I4" s="52" t="s">
        <v>15</v>
      </c>
      <c r="J4" s="53" t="s">
        <v>16</v>
      </c>
      <c r="K4" s="53" t="s">
        <v>17</v>
      </c>
    </row>
    <row r="5" spans="1:11" ht="15" thickTop="1" x14ac:dyDescent="0.3">
      <c r="A5" s="54"/>
      <c r="B5" s="55"/>
      <c r="C5" s="56" t="s">
        <v>75</v>
      </c>
      <c r="D5" s="57">
        <f t="shared" ref="D5:K5" si="0">SUM(D6:D17)+D18</f>
        <v>605274.4</v>
      </c>
      <c r="E5" s="57">
        <f t="shared" si="0"/>
        <v>797808.95</v>
      </c>
      <c r="F5" s="57">
        <f t="shared" si="0"/>
        <v>856791.66999999993</v>
      </c>
      <c r="G5" s="57">
        <f t="shared" si="0"/>
        <v>881791.66999999993</v>
      </c>
      <c r="H5" s="57">
        <f t="shared" si="0"/>
        <v>913831.66999999993</v>
      </c>
      <c r="I5" s="57">
        <f t="shared" si="0"/>
        <v>1049255.71</v>
      </c>
      <c r="J5" s="57">
        <f t="shared" si="0"/>
        <v>1225540.5</v>
      </c>
      <c r="K5" s="57">
        <f t="shared" si="0"/>
        <v>1313111.6299999999</v>
      </c>
    </row>
    <row r="6" spans="1:11" x14ac:dyDescent="0.3">
      <c r="A6" s="54">
        <v>46</v>
      </c>
      <c r="B6" s="55">
        <v>212002</v>
      </c>
      <c r="C6" s="56" t="s">
        <v>18</v>
      </c>
      <c r="D6" s="57"/>
      <c r="E6" s="57"/>
      <c r="F6" s="57">
        <v>0</v>
      </c>
      <c r="G6" s="57">
        <v>0</v>
      </c>
      <c r="H6" s="57">
        <v>3500</v>
      </c>
      <c r="I6" s="57">
        <v>3500</v>
      </c>
      <c r="J6" s="57">
        <v>50000</v>
      </c>
      <c r="K6" s="57">
        <v>3600</v>
      </c>
    </row>
    <row r="7" spans="1:11" x14ac:dyDescent="0.3">
      <c r="A7" s="54">
        <v>46</v>
      </c>
      <c r="B7" s="55">
        <v>212003</v>
      </c>
      <c r="C7" s="56" t="s">
        <v>19</v>
      </c>
      <c r="D7" s="57"/>
      <c r="E7" s="57"/>
      <c r="F7" s="57">
        <v>0</v>
      </c>
      <c r="G7" s="57">
        <v>0</v>
      </c>
      <c r="H7" s="57">
        <f>((630+1050)*11)+60+350</f>
        <v>18890</v>
      </c>
      <c r="I7" s="57">
        <f>(630+1050)*12</f>
        <v>20160</v>
      </c>
      <c r="J7" s="57">
        <f>I7</f>
        <v>20160</v>
      </c>
      <c r="K7" s="57">
        <f>J7</f>
        <v>20160</v>
      </c>
    </row>
    <row r="8" spans="1:11" x14ac:dyDescent="0.3">
      <c r="A8" s="54">
        <v>41</v>
      </c>
      <c r="B8" s="55">
        <v>223001</v>
      </c>
      <c r="C8" s="56" t="s">
        <v>20</v>
      </c>
      <c r="D8" s="57">
        <v>277.61</v>
      </c>
      <c r="E8" s="57">
        <v>0</v>
      </c>
      <c r="F8" s="57">
        <v>0</v>
      </c>
      <c r="G8" s="57">
        <v>0</v>
      </c>
      <c r="H8" s="57">
        <v>0</v>
      </c>
      <c r="I8" s="57">
        <v>0</v>
      </c>
      <c r="J8" s="57">
        <v>0</v>
      </c>
      <c r="K8" s="57">
        <v>0</v>
      </c>
    </row>
    <row r="9" spans="1:11" x14ac:dyDescent="0.3">
      <c r="A9" s="54">
        <v>42</v>
      </c>
      <c r="B9" s="58">
        <v>223001</v>
      </c>
      <c r="C9" s="59" t="s">
        <v>20</v>
      </c>
      <c r="D9" s="60">
        <v>30305.599999999999</v>
      </c>
      <c r="E9" s="60">
        <v>60189.36</v>
      </c>
      <c r="F9" s="60">
        <v>55000</v>
      </c>
      <c r="G9" s="60">
        <v>55000</v>
      </c>
      <c r="H9" s="60">
        <v>60000</v>
      </c>
      <c r="I9" s="60">
        <v>70000</v>
      </c>
      <c r="J9" s="60">
        <v>70000</v>
      </c>
      <c r="K9" s="60">
        <v>70000</v>
      </c>
    </row>
    <row r="10" spans="1:11" x14ac:dyDescent="0.3">
      <c r="A10" s="54">
        <v>46</v>
      </c>
      <c r="B10" s="58">
        <v>223001</v>
      </c>
      <c r="C10" s="59" t="s">
        <v>21</v>
      </c>
      <c r="D10" s="60">
        <v>0</v>
      </c>
      <c r="E10" s="60">
        <v>0</v>
      </c>
      <c r="F10" s="60">
        <v>35000</v>
      </c>
      <c r="G10" s="60">
        <v>35000</v>
      </c>
      <c r="H10" s="60">
        <v>35000</v>
      </c>
      <c r="I10" s="60">
        <v>45000</v>
      </c>
      <c r="J10" s="60">
        <v>50000</v>
      </c>
      <c r="K10" s="60">
        <v>50000</v>
      </c>
    </row>
    <row r="11" spans="1:11" x14ac:dyDescent="0.3">
      <c r="A11" s="54">
        <v>42</v>
      </c>
      <c r="B11" s="58">
        <v>223001</v>
      </c>
      <c r="C11" s="59" t="s">
        <v>22</v>
      </c>
      <c r="D11" s="60">
        <v>0</v>
      </c>
      <c r="E11" s="60">
        <v>0</v>
      </c>
      <c r="F11" s="60">
        <v>1500</v>
      </c>
      <c r="G11" s="60">
        <v>1500</v>
      </c>
      <c r="H11" s="60">
        <v>150</v>
      </c>
      <c r="I11" s="60">
        <v>250</v>
      </c>
      <c r="J11" s="60">
        <v>250</v>
      </c>
      <c r="K11" s="60">
        <v>250</v>
      </c>
    </row>
    <row r="12" spans="1:11" x14ac:dyDescent="0.3">
      <c r="A12" s="54">
        <v>46</v>
      </c>
      <c r="B12" s="58">
        <v>223001</v>
      </c>
      <c r="C12" s="59" t="s">
        <v>23</v>
      </c>
      <c r="D12" s="60">
        <v>64372.65</v>
      </c>
      <c r="E12" s="60">
        <v>162304.23000000001</v>
      </c>
      <c r="F12" s="60">
        <v>130000</v>
      </c>
      <c r="G12" s="60">
        <v>130000</v>
      </c>
      <c r="H12" s="60">
        <v>130000</v>
      </c>
      <c r="I12" s="60">
        <v>135000</v>
      </c>
      <c r="J12" s="60">
        <v>135000</v>
      </c>
      <c r="K12" s="60">
        <v>135000</v>
      </c>
    </row>
    <row r="13" spans="1:11" x14ac:dyDescent="0.3">
      <c r="A13" s="54">
        <v>42</v>
      </c>
      <c r="B13" s="58">
        <v>223004</v>
      </c>
      <c r="C13" s="59" t="s">
        <v>24</v>
      </c>
      <c r="D13" s="60">
        <v>815.29</v>
      </c>
      <c r="E13" s="60">
        <v>0</v>
      </c>
      <c r="F13" s="60">
        <v>0</v>
      </c>
      <c r="G13" s="60">
        <v>0</v>
      </c>
      <c r="H13" s="60">
        <v>1000</v>
      </c>
      <c r="I13" s="60">
        <v>1000</v>
      </c>
      <c r="J13" s="60">
        <v>1000</v>
      </c>
      <c r="K13" s="60">
        <v>1001</v>
      </c>
    </row>
    <row r="14" spans="1:11" x14ac:dyDescent="0.3">
      <c r="A14" s="54">
        <v>41</v>
      </c>
      <c r="B14" s="58">
        <v>242</v>
      </c>
      <c r="C14" s="59" t="s">
        <v>25</v>
      </c>
      <c r="D14" s="60">
        <v>0.01</v>
      </c>
      <c r="E14" s="60">
        <v>0</v>
      </c>
      <c r="F14" s="60">
        <v>0</v>
      </c>
      <c r="G14" s="60">
        <v>0</v>
      </c>
      <c r="H14" s="60">
        <v>0</v>
      </c>
      <c r="I14" s="60">
        <v>0</v>
      </c>
      <c r="J14" s="60">
        <v>0</v>
      </c>
      <c r="K14" s="60">
        <v>0</v>
      </c>
    </row>
    <row r="15" spans="1:11" x14ac:dyDescent="0.3">
      <c r="A15" s="54">
        <v>46</v>
      </c>
      <c r="B15" s="58">
        <v>242</v>
      </c>
      <c r="C15" s="59" t="s">
        <v>25</v>
      </c>
      <c r="D15" s="60">
        <v>0.47</v>
      </c>
      <c r="E15" s="60">
        <v>0</v>
      </c>
      <c r="F15" s="60">
        <v>0</v>
      </c>
      <c r="G15" s="60">
        <v>0</v>
      </c>
      <c r="H15" s="60">
        <v>0</v>
      </c>
      <c r="I15" s="60">
        <v>0</v>
      </c>
      <c r="J15" s="60">
        <v>0</v>
      </c>
      <c r="K15" s="60">
        <v>0</v>
      </c>
    </row>
    <row r="16" spans="1:11" x14ac:dyDescent="0.3">
      <c r="A16" s="61" t="s">
        <v>26</v>
      </c>
      <c r="B16" s="58">
        <v>292</v>
      </c>
      <c r="C16" s="59" t="s">
        <v>27</v>
      </c>
      <c r="D16" s="60">
        <f>149.02+63.75</f>
        <v>212.77</v>
      </c>
      <c r="E16" s="60">
        <f>1071.36+1093.09+381.07</f>
        <v>2545.52</v>
      </c>
      <c r="F16" s="60">
        <v>0</v>
      </c>
      <c r="G16" s="60">
        <v>0</v>
      </c>
      <c r="H16" s="60">
        <v>0</v>
      </c>
      <c r="I16" s="60">
        <v>0</v>
      </c>
      <c r="J16" s="60">
        <v>0</v>
      </c>
      <c r="K16" s="60">
        <v>0</v>
      </c>
    </row>
    <row r="17" spans="1:14" x14ac:dyDescent="0.3">
      <c r="A17" s="61" t="s">
        <v>28</v>
      </c>
      <c r="B17" s="58">
        <v>291</v>
      </c>
      <c r="C17" s="59" t="s">
        <v>29</v>
      </c>
      <c r="D17" s="60">
        <v>0</v>
      </c>
      <c r="E17" s="60">
        <v>13020</v>
      </c>
      <c r="F17" s="60">
        <v>0</v>
      </c>
      <c r="G17" s="60">
        <v>0</v>
      </c>
      <c r="H17" s="60">
        <v>5000</v>
      </c>
      <c r="I17" s="60">
        <v>0</v>
      </c>
      <c r="J17" s="60">
        <v>0</v>
      </c>
      <c r="K17" s="60">
        <v>0</v>
      </c>
    </row>
    <row r="18" spans="1:14" x14ac:dyDescent="0.3">
      <c r="A18" s="54">
        <v>41</v>
      </c>
      <c r="B18" s="58">
        <v>312007</v>
      </c>
      <c r="C18" s="59" t="s">
        <v>31</v>
      </c>
      <c r="D18" s="60">
        <v>509290</v>
      </c>
      <c r="E18" s="60">
        <v>559749.84</v>
      </c>
      <c r="F18" s="60">
        <f t="shared" ref="F18:K18" si="1">F57</f>
        <v>635291.66999999993</v>
      </c>
      <c r="G18" s="60">
        <f t="shared" si="1"/>
        <v>660291.66999999993</v>
      </c>
      <c r="H18" s="60">
        <f t="shared" si="1"/>
        <v>660291.66999999993</v>
      </c>
      <c r="I18" s="60">
        <f t="shared" si="1"/>
        <v>774345.71</v>
      </c>
      <c r="J18" s="60">
        <f t="shared" si="1"/>
        <v>899130.5</v>
      </c>
      <c r="K18" s="60">
        <f t="shared" si="1"/>
        <v>1033100.63</v>
      </c>
    </row>
    <row r="19" spans="1:14" x14ac:dyDescent="0.3">
      <c r="A19" s="54">
        <v>41</v>
      </c>
      <c r="B19" s="58">
        <v>322005</v>
      </c>
      <c r="C19" s="59" t="s">
        <v>30</v>
      </c>
      <c r="D19" s="60">
        <f>D59</f>
        <v>25000</v>
      </c>
      <c r="E19" s="60">
        <f t="shared" ref="E19:K19" si="2">E59</f>
        <v>25000</v>
      </c>
      <c r="F19" s="60">
        <f t="shared" si="2"/>
        <v>24933.33</v>
      </c>
      <c r="G19" s="60">
        <f t="shared" si="2"/>
        <v>24933.33</v>
      </c>
      <c r="H19" s="60">
        <f t="shared" si="2"/>
        <v>24933.33</v>
      </c>
      <c r="I19" s="60">
        <f t="shared" si="2"/>
        <v>71975.290000000008</v>
      </c>
      <c r="J19" s="60">
        <f t="shared" si="2"/>
        <v>62832.43</v>
      </c>
      <c r="K19" s="60">
        <f t="shared" si="2"/>
        <v>62832.429000000004</v>
      </c>
    </row>
    <row r="20" spans="1:14" hidden="1" x14ac:dyDescent="0.3">
      <c r="A20" s="54">
        <v>41</v>
      </c>
      <c r="B20" s="62">
        <v>456002</v>
      </c>
      <c r="C20" s="59" t="s">
        <v>32</v>
      </c>
      <c r="D20" s="60">
        <v>0</v>
      </c>
      <c r="E20" s="60">
        <v>4530.53</v>
      </c>
      <c r="F20" s="60">
        <v>0</v>
      </c>
      <c r="G20" s="60">
        <v>0</v>
      </c>
      <c r="H20" s="60">
        <f>F20</f>
        <v>0</v>
      </c>
      <c r="I20" s="60">
        <v>0</v>
      </c>
      <c r="J20" s="60">
        <v>0</v>
      </c>
      <c r="K20" s="60">
        <v>0</v>
      </c>
    </row>
    <row r="21" spans="1:14" x14ac:dyDescent="0.3">
      <c r="A21" s="54">
        <v>41</v>
      </c>
      <c r="B21" s="62"/>
      <c r="C21" s="59" t="s">
        <v>33</v>
      </c>
      <c r="D21" s="60">
        <f t="shared" ref="D21:H21" si="3">D5+D20+D19</f>
        <v>630274.4</v>
      </c>
      <c r="E21" s="60">
        <f t="shared" si="3"/>
        <v>827339.48</v>
      </c>
      <c r="F21" s="60">
        <f t="shared" si="3"/>
        <v>881724.99999999988</v>
      </c>
      <c r="G21" s="60">
        <f t="shared" si="3"/>
        <v>906724.99999999988</v>
      </c>
      <c r="H21" s="60">
        <f t="shared" si="3"/>
        <v>938764.99999999988</v>
      </c>
      <c r="I21" s="60">
        <f t="shared" ref="I21" si="4">I5+I20+I19</f>
        <v>1121231</v>
      </c>
      <c r="J21" s="60">
        <f t="shared" ref="J21" si="5">J5+J20+J19</f>
        <v>1288372.93</v>
      </c>
      <c r="K21" s="60">
        <f t="shared" ref="K21" si="6">K5+K20+K19</f>
        <v>1375944.0589999999</v>
      </c>
      <c r="L21" s="71"/>
      <c r="M21" s="71"/>
      <c r="N21" s="71"/>
    </row>
    <row r="22" spans="1:14" ht="15" thickBot="1" x14ac:dyDescent="0.35">
      <c r="A22" s="63"/>
      <c r="B22" s="64"/>
      <c r="C22" s="65" t="s">
        <v>34</v>
      </c>
      <c r="D22" s="66">
        <f>D21-629394.55</f>
        <v>879.84999999997672</v>
      </c>
      <c r="E22" s="66">
        <f>E5-821798.96-2799.6+E19+E20</f>
        <v>2740.9199999999919</v>
      </c>
      <c r="F22" s="66">
        <v>0</v>
      </c>
      <c r="G22" s="66">
        <v>0</v>
      </c>
      <c r="H22" s="66">
        <v>0</v>
      </c>
      <c r="I22" s="66">
        <v>0</v>
      </c>
      <c r="J22" s="66">
        <v>0</v>
      </c>
      <c r="K22" s="66">
        <v>0</v>
      </c>
    </row>
    <row r="23" spans="1:14" ht="15.6" thickTop="1" thickBot="1" x14ac:dyDescent="0.35">
      <c r="A23" s="64"/>
      <c r="B23" s="67"/>
      <c r="C23" s="68"/>
      <c r="D23" s="68"/>
      <c r="E23" s="69"/>
      <c r="F23" s="70"/>
      <c r="G23" s="70"/>
      <c r="H23" s="70"/>
      <c r="I23" s="70"/>
      <c r="J23" s="70"/>
      <c r="K23" s="70"/>
    </row>
    <row r="24" spans="1:14" ht="15" thickTop="1" x14ac:dyDescent="0.3">
      <c r="D24" s="71"/>
      <c r="E24" s="71"/>
      <c r="F24" s="71"/>
      <c r="G24" s="71"/>
      <c r="H24" s="71"/>
      <c r="I24" s="71"/>
      <c r="J24" s="71"/>
      <c r="K24" s="71"/>
    </row>
    <row r="25" spans="1:14" ht="15" thickBot="1" x14ac:dyDescent="0.35"/>
    <row r="26" spans="1:14" x14ac:dyDescent="0.3">
      <c r="B26" s="1" t="s">
        <v>73</v>
      </c>
      <c r="C26" s="76" t="s">
        <v>74</v>
      </c>
      <c r="D26" s="2" t="s">
        <v>3</v>
      </c>
      <c r="E26" s="2" t="s">
        <v>3</v>
      </c>
      <c r="F26" s="2" t="s">
        <v>5</v>
      </c>
      <c r="G26" s="2" t="s">
        <v>35</v>
      </c>
      <c r="H26" s="78" t="s">
        <v>7</v>
      </c>
      <c r="I26" s="83" t="s">
        <v>5</v>
      </c>
      <c r="J26" s="80" t="s">
        <v>8</v>
      </c>
      <c r="K26" s="2" t="s">
        <v>8</v>
      </c>
    </row>
    <row r="27" spans="1:14" ht="15" thickBot="1" x14ac:dyDescent="0.35">
      <c r="B27" s="3" t="s">
        <v>10</v>
      </c>
      <c r="C27" s="77"/>
      <c r="D27" s="4" t="s">
        <v>12</v>
      </c>
      <c r="E27" s="4" t="s">
        <v>13</v>
      </c>
      <c r="F27" s="4" t="s">
        <v>14</v>
      </c>
      <c r="G27" s="4" t="s">
        <v>14</v>
      </c>
      <c r="H27" s="79" t="s">
        <v>14</v>
      </c>
      <c r="I27" s="83" t="s">
        <v>15</v>
      </c>
      <c r="J27" s="81" t="s">
        <v>16</v>
      </c>
      <c r="K27" s="5" t="s">
        <v>17</v>
      </c>
    </row>
    <row r="28" spans="1:14" ht="15" thickBot="1" x14ac:dyDescent="0.35">
      <c r="B28" s="73" t="s">
        <v>36</v>
      </c>
      <c r="C28" s="74"/>
      <c r="D28" s="74"/>
      <c r="E28" s="74"/>
      <c r="F28" s="74"/>
      <c r="G28" s="74"/>
      <c r="H28" s="74"/>
      <c r="I28" s="82"/>
      <c r="J28" s="74"/>
      <c r="K28" s="75"/>
    </row>
    <row r="29" spans="1:14" x14ac:dyDescent="0.3">
      <c r="B29" s="6" t="s">
        <v>37</v>
      </c>
      <c r="C29" s="7" t="s">
        <v>38</v>
      </c>
      <c r="D29" s="8">
        <f t="shared" ref="D29:K29" si="7">SUM(D30:D32)</f>
        <v>1000</v>
      </c>
      <c r="E29" s="8">
        <f t="shared" si="7"/>
        <v>1100</v>
      </c>
      <c r="F29" s="8">
        <f t="shared" si="7"/>
        <v>9000</v>
      </c>
      <c r="G29" s="8">
        <f t="shared" si="7"/>
        <v>19000</v>
      </c>
      <c r="H29" s="8">
        <f t="shared" si="7"/>
        <v>19000</v>
      </c>
      <c r="I29" s="8">
        <f t="shared" si="7"/>
        <v>13375</v>
      </c>
      <c r="J29" s="8">
        <f t="shared" si="7"/>
        <v>22280</v>
      </c>
      <c r="K29" s="8">
        <f t="shared" si="7"/>
        <v>25150</v>
      </c>
    </row>
    <row r="30" spans="1:14" x14ac:dyDescent="0.3">
      <c r="B30" s="9"/>
      <c r="C30" s="10" t="s">
        <v>39</v>
      </c>
      <c r="D30" s="11">
        <v>0</v>
      </c>
      <c r="E30" s="11">
        <v>0</v>
      </c>
      <c r="F30" s="11">
        <v>4500</v>
      </c>
      <c r="G30" s="11">
        <v>4500</v>
      </c>
      <c r="H30" s="11">
        <v>4500</v>
      </c>
      <c r="I30" s="12">
        <v>5175</v>
      </c>
      <c r="J30" s="12">
        <v>12850</v>
      </c>
      <c r="K30" s="12">
        <v>14780</v>
      </c>
    </row>
    <row r="31" spans="1:14" x14ac:dyDescent="0.3">
      <c r="B31" s="9"/>
      <c r="C31" s="10" t="s">
        <v>40</v>
      </c>
      <c r="D31" s="11">
        <v>1000</v>
      </c>
      <c r="E31" s="11">
        <v>1100</v>
      </c>
      <c r="F31" s="11">
        <v>2500</v>
      </c>
      <c r="G31" s="11">
        <v>2500</v>
      </c>
      <c r="H31" s="11">
        <v>2500</v>
      </c>
      <c r="I31" s="12">
        <v>3000</v>
      </c>
      <c r="J31" s="12">
        <f>I31*1.15</f>
        <v>3449.9999999999995</v>
      </c>
      <c r="K31" s="12">
        <v>3870</v>
      </c>
    </row>
    <row r="32" spans="1:14" x14ac:dyDescent="0.3">
      <c r="B32" s="9"/>
      <c r="C32" s="10" t="s">
        <v>41</v>
      </c>
      <c r="D32" s="11">
        <v>0</v>
      </c>
      <c r="E32" s="11">
        <v>0</v>
      </c>
      <c r="F32" s="11">
        <v>2000</v>
      </c>
      <c r="G32" s="11">
        <f>2000+10000</f>
        <v>12000</v>
      </c>
      <c r="H32" s="11">
        <f>2000+10000</f>
        <v>12000</v>
      </c>
      <c r="I32" s="12">
        <v>5200</v>
      </c>
      <c r="J32" s="12">
        <v>5980</v>
      </c>
      <c r="K32" s="12">
        <v>6500</v>
      </c>
    </row>
    <row r="33" spans="2:12" x14ac:dyDescent="0.3">
      <c r="B33" s="13" t="s">
        <v>42</v>
      </c>
      <c r="C33" s="14" t="s">
        <v>43</v>
      </c>
      <c r="D33" s="15">
        <f t="shared" ref="D33:K33" si="8">SUM(D34:D38)</f>
        <v>370000</v>
      </c>
      <c r="E33" s="15">
        <f t="shared" si="8"/>
        <v>366179.83999999997</v>
      </c>
      <c r="F33" s="15">
        <f t="shared" si="8"/>
        <v>402500</v>
      </c>
      <c r="G33" s="15">
        <f t="shared" si="8"/>
        <v>402500</v>
      </c>
      <c r="H33" s="15">
        <f t="shared" si="8"/>
        <v>402500</v>
      </c>
      <c r="I33" s="15">
        <f t="shared" si="8"/>
        <v>477695.70999999996</v>
      </c>
      <c r="J33" s="15">
        <f t="shared" si="8"/>
        <v>553283</v>
      </c>
      <c r="K33" s="15">
        <f t="shared" si="8"/>
        <v>640340</v>
      </c>
      <c r="L33" s="71"/>
    </row>
    <row r="34" spans="2:12" x14ac:dyDescent="0.3">
      <c r="B34" s="9"/>
      <c r="C34" s="10" t="s">
        <v>44</v>
      </c>
      <c r="D34" s="11">
        <f>163800+6500</f>
        <v>170300</v>
      </c>
      <c r="E34" s="11">
        <f>187180-0.16</f>
        <v>187179.84</v>
      </c>
      <c r="F34" s="11">
        <v>213500</v>
      </c>
      <c r="G34" s="11">
        <v>213500</v>
      </c>
      <c r="H34" s="11">
        <v>213500</v>
      </c>
      <c r="I34" s="12">
        <v>260345.71</v>
      </c>
      <c r="J34" s="16">
        <v>303330</v>
      </c>
      <c r="K34" s="16">
        <v>352900</v>
      </c>
    </row>
    <row r="35" spans="2:12" x14ac:dyDescent="0.3">
      <c r="B35" s="9"/>
      <c r="C35" s="10" t="s">
        <v>45</v>
      </c>
      <c r="D35" s="11">
        <f>30000+19000</f>
        <v>49000</v>
      </c>
      <c r="E35" s="11">
        <v>0</v>
      </c>
      <c r="F35" s="11">
        <v>0</v>
      </c>
      <c r="G35" s="11">
        <v>0</v>
      </c>
      <c r="H35" s="11">
        <v>0</v>
      </c>
      <c r="I35" s="12">
        <v>0</v>
      </c>
      <c r="J35" s="12">
        <v>0</v>
      </c>
      <c r="K35" s="12">
        <v>0</v>
      </c>
    </row>
    <row r="36" spans="2:12" x14ac:dyDescent="0.3">
      <c r="B36" s="9"/>
      <c r="C36" s="10" t="s">
        <v>46</v>
      </c>
      <c r="D36" s="11">
        <v>90000</v>
      </c>
      <c r="E36" s="11">
        <v>93000</v>
      </c>
      <c r="F36" s="11">
        <v>93000</v>
      </c>
      <c r="G36" s="11">
        <v>93000</v>
      </c>
      <c r="H36" s="11">
        <v>93000</v>
      </c>
      <c r="I36" s="11">
        <f>F36*1.15</f>
        <v>106949.99999999999</v>
      </c>
      <c r="J36" s="11">
        <v>122993</v>
      </c>
      <c r="K36" s="11">
        <v>141440</v>
      </c>
    </row>
    <row r="37" spans="2:12" x14ac:dyDescent="0.3">
      <c r="B37" s="9"/>
      <c r="C37" s="10" t="s">
        <v>47</v>
      </c>
      <c r="D37" s="11">
        <f>1500+30000</f>
        <v>31500</v>
      </c>
      <c r="E37" s="11">
        <v>43000</v>
      </c>
      <c r="F37" s="11">
        <v>43000</v>
      </c>
      <c r="G37" s="11">
        <v>43000</v>
      </c>
      <c r="H37" s="11">
        <v>43000</v>
      </c>
      <c r="I37" s="12">
        <f>F37*1.15</f>
        <v>49449.999999999993</v>
      </c>
      <c r="J37" s="12">
        <v>56870</v>
      </c>
      <c r="K37" s="12">
        <v>65400</v>
      </c>
    </row>
    <row r="38" spans="2:12" ht="21.6" x14ac:dyDescent="0.3">
      <c r="B38" s="9"/>
      <c r="C38" s="17" t="s">
        <v>48</v>
      </c>
      <c r="D38" s="18">
        <f>3000+25000+1000+200</f>
        <v>29200</v>
      </c>
      <c r="E38" s="11">
        <v>43000</v>
      </c>
      <c r="F38" s="11">
        <v>53000</v>
      </c>
      <c r="G38" s="11">
        <v>53000</v>
      </c>
      <c r="H38" s="11">
        <v>53000</v>
      </c>
      <c r="I38" s="12">
        <f>F38*1.15</f>
        <v>60949.999999999993</v>
      </c>
      <c r="J38" s="12">
        <v>70090</v>
      </c>
      <c r="K38" s="12">
        <v>80600</v>
      </c>
    </row>
    <row r="39" spans="2:12" x14ac:dyDescent="0.3">
      <c r="B39" s="13" t="s">
        <v>49</v>
      </c>
      <c r="C39" s="14" t="s">
        <v>50</v>
      </c>
      <c r="D39" s="15">
        <f>SUM(D40:D43)</f>
        <v>42500</v>
      </c>
      <c r="E39" s="15">
        <f>SUM(E40:E43)</f>
        <v>73000</v>
      </c>
      <c r="F39" s="15">
        <f t="shared" ref="F39:K39" si="9">SUM(F40:F44)</f>
        <v>72500</v>
      </c>
      <c r="G39" s="15">
        <f t="shared" si="9"/>
        <v>72500</v>
      </c>
      <c r="H39" s="15">
        <f t="shared" si="9"/>
        <v>72500</v>
      </c>
      <c r="I39" s="15">
        <f t="shared" si="9"/>
        <v>108850</v>
      </c>
      <c r="J39" s="15">
        <f t="shared" si="9"/>
        <v>122977.5</v>
      </c>
      <c r="K39" s="15">
        <f t="shared" si="9"/>
        <v>136925.38</v>
      </c>
      <c r="L39" s="71"/>
    </row>
    <row r="40" spans="2:12" x14ac:dyDescent="0.3">
      <c r="B40" s="9"/>
      <c r="C40" s="10" t="s">
        <v>51</v>
      </c>
      <c r="D40" s="11">
        <f>6500+22700</f>
        <v>29200</v>
      </c>
      <c r="E40" s="11">
        <v>37500</v>
      </c>
      <c r="F40" s="11">
        <v>29000</v>
      </c>
      <c r="G40" s="11">
        <v>29000</v>
      </c>
      <c r="H40" s="11">
        <v>29000</v>
      </c>
      <c r="I40" s="12">
        <v>33350</v>
      </c>
      <c r="J40" s="12">
        <v>38352.5</v>
      </c>
      <c r="K40" s="16">
        <v>44105.38</v>
      </c>
    </row>
    <row r="41" spans="2:12" x14ac:dyDescent="0.3">
      <c r="B41" s="9"/>
      <c r="C41" s="10" t="s">
        <v>52</v>
      </c>
      <c r="D41" s="11">
        <f>3500</f>
        <v>3500</v>
      </c>
      <c r="E41" s="11">
        <v>7000</v>
      </c>
      <c r="F41" s="11">
        <v>16000</v>
      </c>
      <c r="G41" s="11">
        <v>16000</v>
      </c>
      <c r="H41" s="11">
        <v>16000</v>
      </c>
      <c r="I41" s="12">
        <v>20000</v>
      </c>
      <c r="J41" s="12">
        <f>I41*1.15</f>
        <v>23000</v>
      </c>
      <c r="K41" s="12">
        <f>J41*1.15</f>
        <v>26449.999999999996</v>
      </c>
    </row>
    <row r="42" spans="2:12" x14ac:dyDescent="0.3">
      <c r="B42" s="9"/>
      <c r="C42" s="10" t="s">
        <v>53</v>
      </c>
      <c r="D42" s="11">
        <v>2300</v>
      </c>
      <c r="E42" s="11">
        <v>20000</v>
      </c>
      <c r="F42" s="11">
        <v>19000</v>
      </c>
      <c r="G42" s="11">
        <v>19000</v>
      </c>
      <c r="H42" s="11">
        <v>19000</v>
      </c>
      <c r="I42" s="12">
        <v>20000</v>
      </c>
      <c r="J42" s="12">
        <f>I42*1.15</f>
        <v>23000</v>
      </c>
      <c r="K42" s="12">
        <f>J42*1.15</f>
        <v>26449.999999999996</v>
      </c>
    </row>
    <row r="43" spans="2:12" x14ac:dyDescent="0.3">
      <c r="B43" s="9"/>
      <c r="C43" s="19" t="s">
        <v>54</v>
      </c>
      <c r="D43" s="12">
        <v>7500</v>
      </c>
      <c r="E43" s="12">
        <v>8500</v>
      </c>
      <c r="F43" s="12">
        <v>7500</v>
      </c>
      <c r="G43" s="12">
        <v>7500</v>
      </c>
      <c r="H43" s="12">
        <v>7500</v>
      </c>
      <c r="I43" s="12">
        <f>F43</f>
        <v>7500</v>
      </c>
      <c r="J43" s="12">
        <f>I43*1.15</f>
        <v>8625</v>
      </c>
      <c r="K43" s="12">
        <v>9920</v>
      </c>
    </row>
    <row r="44" spans="2:12" x14ac:dyDescent="0.3">
      <c r="B44" s="9"/>
      <c r="C44" s="19" t="s">
        <v>55</v>
      </c>
      <c r="D44" s="20">
        <v>0</v>
      </c>
      <c r="E44" s="11">
        <v>0</v>
      </c>
      <c r="F44" s="11">
        <v>1000</v>
      </c>
      <c r="G44" s="11">
        <v>1000</v>
      </c>
      <c r="H44" s="11">
        <v>1000</v>
      </c>
      <c r="I44" s="11">
        <v>28000</v>
      </c>
      <c r="J44" s="11">
        <v>30000</v>
      </c>
      <c r="K44" s="11">
        <v>30000</v>
      </c>
    </row>
    <row r="45" spans="2:12" x14ac:dyDescent="0.3">
      <c r="B45" s="13" t="s">
        <v>56</v>
      </c>
      <c r="C45" s="21" t="s">
        <v>57</v>
      </c>
      <c r="D45" s="22">
        <f t="shared" ref="D45:K45" si="10">SUM(D46:D53)</f>
        <v>80000</v>
      </c>
      <c r="E45" s="22">
        <f t="shared" si="10"/>
        <v>111670</v>
      </c>
      <c r="F45" s="22">
        <f t="shared" si="10"/>
        <v>141566.66999999998</v>
      </c>
      <c r="G45" s="22">
        <f t="shared" si="10"/>
        <v>156566.66999999998</v>
      </c>
      <c r="H45" s="22">
        <f t="shared" si="10"/>
        <v>156566.66999999998</v>
      </c>
      <c r="I45" s="22">
        <f t="shared" si="10"/>
        <v>162125</v>
      </c>
      <c r="J45" s="22">
        <f t="shared" si="10"/>
        <v>186445</v>
      </c>
      <c r="K45" s="22">
        <f t="shared" si="10"/>
        <v>214415.24999999997</v>
      </c>
      <c r="L45" s="71"/>
    </row>
    <row r="46" spans="2:12" x14ac:dyDescent="0.3">
      <c r="B46" s="9"/>
      <c r="C46" s="19" t="s">
        <v>58</v>
      </c>
      <c r="D46" s="12">
        <f>15000+24000+4000</f>
        <v>43000</v>
      </c>
      <c r="E46" s="12">
        <v>46000</v>
      </c>
      <c r="F46" s="12">
        <v>46000</v>
      </c>
      <c r="G46" s="12">
        <v>46000</v>
      </c>
      <c r="H46" s="12">
        <v>46000</v>
      </c>
      <c r="I46" s="12">
        <f>F46*1.15</f>
        <v>52899.999999999993</v>
      </c>
      <c r="J46" s="12">
        <f>I46*1.15</f>
        <v>60834.999999999985</v>
      </c>
      <c r="K46" s="12">
        <f>J46*1.15</f>
        <v>69960.249999999971</v>
      </c>
    </row>
    <row r="47" spans="2:12" x14ac:dyDescent="0.3">
      <c r="B47" s="9"/>
      <c r="C47" s="19" t="s">
        <v>59</v>
      </c>
      <c r="D47" s="12">
        <f>2500+3000</f>
        <v>5500</v>
      </c>
      <c r="E47" s="12">
        <v>6000</v>
      </c>
      <c r="F47" s="12">
        <v>9500</v>
      </c>
      <c r="G47" s="12">
        <v>9500</v>
      </c>
      <c r="H47" s="12">
        <v>9500</v>
      </c>
      <c r="I47" s="12">
        <f>F47*1.15</f>
        <v>10925</v>
      </c>
      <c r="J47" s="12">
        <v>12565</v>
      </c>
      <c r="K47" s="12">
        <v>14450</v>
      </c>
    </row>
    <row r="48" spans="2:12" x14ac:dyDescent="0.3">
      <c r="B48" s="9"/>
      <c r="C48" s="19" t="s">
        <v>60</v>
      </c>
      <c r="D48" s="12">
        <f>7000+500</f>
        <v>7500</v>
      </c>
      <c r="E48" s="12">
        <v>11000</v>
      </c>
      <c r="F48" s="12">
        <v>12000</v>
      </c>
      <c r="G48" s="12">
        <v>12000</v>
      </c>
      <c r="H48" s="12">
        <v>12000</v>
      </c>
      <c r="I48" s="12">
        <f>F48*1.15</f>
        <v>13799.999999999998</v>
      </c>
      <c r="J48" s="12">
        <f>I48*1.15</f>
        <v>15869.999999999996</v>
      </c>
      <c r="K48" s="12">
        <v>18250</v>
      </c>
    </row>
    <row r="49" spans="2:11" x14ac:dyDescent="0.3">
      <c r="B49" s="9"/>
      <c r="C49" s="19" t="s">
        <v>61</v>
      </c>
      <c r="D49" s="12">
        <v>15000</v>
      </c>
      <c r="E49" s="12">
        <v>17000</v>
      </c>
      <c r="F49" s="12">
        <v>20000</v>
      </c>
      <c r="G49" s="12">
        <f>20000+15000</f>
        <v>35000</v>
      </c>
      <c r="H49" s="12">
        <f>20000+15000</f>
        <v>35000</v>
      </c>
      <c r="I49" s="12">
        <f>(F49*1.15)+15000</f>
        <v>38000</v>
      </c>
      <c r="J49" s="12">
        <f>I49*1.15</f>
        <v>43700</v>
      </c>
      <c r="K49" s="12">
        <f>J49*1.15</f>
        <v>50254.999999999993</v>
      </c>
    </row>
    <row r="50" spans="2:11" x14ac:dyDescent="0.3">
      <c r="B50" s="9"/>
      <c r="C50" s="19" t="s">
        <v>62</v>
      </c>
      <c r="D50" s="12">
        <v>1500</v>
      </c>
      <c r="E50" s="12"/>
      <c r="F50" s="12">
        <v>2500</v>
      </c>
      <c r="G50" s="12">
        <v>2500</v>
      </c>
      <c r="H50" s="12">
        <v>2500</v>
      </c>
      <c r="I50" s="12">
        <v>2500</v>
      </c>
      <c r="J50" s="12">
        <f>I50*1.15</f>
        <v>2875</v>
      </c>
      <c r="K50" s="12">
        <v>3310</v>
      </c>
    </row>
    <row r="51" spans="2:11" x14ac:dyDescent="0.3">
      <c r="B51" s="9"/>
      <c r="C51" s="19" t="s">
        <v>63</v>
      </c>
      <c r="D51" s="12">
        <f>3500+500</f>
        <v>4000</v>
      </c>
      <c r="E51" s="12">
        <v>23670</v>
      </c>
      <c r="F51" s="12">
        <f>25000+5066.67</f>
        <v>30066.67</v>
      </c>
      <c r="G51" s="12">
        <f>25000+5066.67</f>
        <v>30066.67</v>
      </c>
      <c r="H51" s="12">
        <f>25000+5066.67</f>
        <v>30066.67</v>
      </c>
      <c r="I51" s="12">
        <v>34000</v>
      </c>
      <c r="J51" s="12">
        <f>I51*1.15</f>
        <v>39100</v>
      </c>
      <c r="K51" s="12">
        <f>J51*1.15</f>
        <v>44965</v>
      </c>
    </row>
    <row r="52" spans="2:11" x14ac:dyDescent="0.3">
      <c r="B52" s="9"/>
      <c r="C52" s="19" t="s">
        <v>64</v>
      </c>
      <c r="D52" s="23"/>
      <c r="E52" s="23"/>
      <c r="F52" s="11">
        <v>13500</v>
      </c>
      <c r="G52" s="11">
        <v>13500</v>
      </c>
      <c r="H52" s="11">
        <v>13500</v>
      </c>
      <c r="I52" s="11">
        <v>0</v>
      </c>
      <c r="J52" s="11">
        <v>0</v>
      </c>
      <c r="K52" s="11">
        <v>0</v>
      </c>
    </row>
    <row r="53" spans="2:11" x14ac:dyDescent="0.3">
      <c r="B53" s="9"/>
      <c r="C53" s="19" t="s">
        <v>65</v>
      </c>
      <c r="D53" s="12">
        <f>2000+1500</f>
        <v>3500</v>
      </c>
      <c r="E53" s="12">
        <v>8000</v>
      </c>
      <c r="F53" s="12">
        <v>8000</v>
      </c>
      <c r="G53" s="12">
        <v>8000</v>
      </c>
      <c r="H53" s="12">
        <v>8000</v>
      </c>
      <c r="I53" s="12">
        <v>10000</v>
      </c>
      <c r="J53" s="12">
        <f>I53*1.15</f>
        <v>11500</v>
      </c>
      <c r="K53" s="12">
        <f>J53*1.15</f>
        <v>13224.999999999998</v>
      </c>
    </row>
    <row r="54" spans="2:11" x14ac:dyDescent="0.3">
      <c r="B54" s="9"/>
      <c r="C54" s="19" t="s">
        <v>66</v>
      </c>
      <c r="D54" s="12">
        <v>8290</v>
      </c>
      <c r="E54" s="12"/>
      <c r="F54" s="12"/>
      <c r="G54" s="12"/>
      <c r="H54" s="12"/>
      <c r="I54" s="12"/>
      <c r="J54" s="12"/>
      <c r="K54" s="12"/>
    </row>
    <row r="55" spans="2:11" x14ac:dyDescent="0.3">
      <c r="B55" s="24" t="s">
        <v>67</v>
      </c>
      <c r="C55" s="21" t="s">
        <v>68</v>
      </c>
      <c r="D55" s="22">
        <f>SUM(D56:D56)</f>
        <v>7500</v>
      </c>
      <c r="E55" s="22">
        <f t="shared" ref="E55:K55" si="11">SUM(E56)</f>
        <v>7800</v>
      </c>
      <c r="F55" s="22">
        <f t="shared" si="11"/>
        <v>9725</v>
      </c>
      <c r="G55" s="22">
        <f t="shared" si="11"/>
        <v>9725</v>
      </c>
      <c r="H55" s="22">
        <f t="shared" si="11"/>
        <v>9725</v>
      </c>
      <c r="I55" s="22">
        <f t="shared" si="11"/>
        <v>12300</v>
      </c>
      <c r="J55" s="22">
        <f t="shared" si="11"/>
        <v>14144.999999999998</v>
      </c>
      <c r="K55" s="22">
        <f t="shared" si="11"/>
        <v>16270</v>
      </c>
    </row>
    <row r="56" spans="2:11" ht="15" thickBot="1" x14ac:dyDescent="0.35">
      <c r="B56" s="25"/>
      <c r="C56" s="26" t="s">
        <v>69</v>
      </c>
      <c r="D56" s="27">
        <v>7500</v>
      </c>
      <c r="E56" s="27">
        <v>7800</v>
      </c>
      <c r="F56" s="27">
        <v>9725</v>
      </c>
      <c r="G56" s="27">
        <v>9725</v>
      </c>
      <c r="H56" s="27">
        <v>9725</v>
      </c>
      <c r="I56" s="27">
        <v>12300</v>
      </c>
      <c r="J56" s="27">
        <f>I56*1.15</f>
        <v>14144.999999999998</v>
      </c>
      <c r="K56" s="27">
        <v>16270</v>
      </c>
    </row>
    <row r="57" spans="2:11" ht="15" thickBot="1" x14ac:dyDescent="0.35">
      <c r="B57" s="28"/>
      <c r="C57" s="29" t="s">
        <v>70</v>
      </c>
      <c r="D57" s="30">
        <f>D29+D33+D39+D45+D55+D54</f>
        <v>509290</v>
      </c>
      <c r="E57" s="30">
        <f t="shared" ref="E57:K57" si="12">E29+E33+E39+E45+E55</f>
        <v>559749.84</v>
      </c>
      <c r="F57" s="30">
        <f t="shared" si="12"/>
        <v>635291.66999999993</v>
      </c>
      <c r="G57" s="30">
        <f t="shared" si="12"/>
        <v>660291.66999999993</v>
      </c>
      <c r="H57" s="30">
        <f t="shared" si="12"/>
        <v>660291.66999999993</v>
      </c>
      <c r="I57" s="31">
        <f t="shared" si="12"/>
        <v>774345.71</v>
      </c>
      <c r="J57" s="31">
        <f t="shared" si="12"/>
        <v>899130.5</v>
      </c>
      <c r="K57" s="31">
        <f t="shared" si="12"/>
        <v>1033100.63</v>
      </c>
    </row>
    <row r="58" spans="2:11" ht="15" thickBot="1" x14ac:dyDescent="0.35">
      <c r="B58" s="32"/>
      <c r="C58" s="33"/>
      <c r="D58" s="34"/>
      <c r="E58" s="34"/>
      <c r="F58" s="34"/>
      <c r="G58" s="34"/>
      <c r="H58" s="34"/>
      <c r="I58" s="34"/>
      <c r="J58" s="35"/>
      <c r="K58" s="35"/>
    </row>
    <row r="59" spans="2:11" ht="15" thickBot="1" x14ac:dyDescent="0.35">
      <c r="B59" s="28"/>
      <c r="C59" s="29" t="s">
        <v>77</v>
      </c>
      <c r="D59" s="30">
        <f>SUM(D60:D63)</f>
        <v>25000</v>
      </c>
      <c r="E59" s="30">
        <f t="shared" ref="E59:K59" si="13">SUM(E60:E63)</f>
        <v>25000</v>
      </c>
      <c r="F59" s="30">
        <f t="shared" si="13"/>
        <v>24933.33</v>
      </c>
      <c r="G59" s="30">
        <f t="shared" si="13"/>
        <v>24933.33</v>
      </c>
      <c r="H59" s="30">
        <f t="shared" si="13"/>
        <v>24933.33</v>
      </c>
      <c r="I59" s="30">
        <f t="shared" si="13"/>
        <v>71975.290000000008</v>
      </c>
      <c r="J59" s="30">
        <f t="shared" si="13"/>
        <v>62832.43</v>
      </c>
      <c r="K59" s="30">
        <f t="shared" si="13"/>
        <v>62832.429000000004</v>
      </c>
    </row>
    <row r="60" spans="2:11" ht="15" thickBot="1" x14ac:dyDescent="0.35">
      <c r="B60" s="36" t="s">
        <v>56</v>
      </c>
      <c r="C60" s="37" t="s">
        <v>79</v>
      </c>
      <c r="D60" s="27">
        <v>0</v>
      </c>
      <c r="E60" s="27">
        <v>0</v>
      </c>
      <c r="F60" s="27">
        <v>24933.33</v>
      </c>
      <c r="G60" s="27">
        <v>24933.33</v>
      </c>
      <c r="H60" s="27">
        <v>24933.33</v>
      </c>
      <c r="I60" s="27">
        <v>22261</v>
      </c>
      <c r="J60" s="38">
        <v>22261</v>
      </c>
      <c r="K60" s="38">
        <v>22261</v>
      </c>
    </row>
    <row r="61" spans="2:11" ht="28.5" customHeight="1" thickBot="1" x14ac:dyDescent="0.35">
      <c r="B61" s="36" t="s">
        <v>42</v>
      </c>
      <c r="C61" s="37" t="s">
        <v>76</v>
      </c>
      <c r="D61" s="27"/>
      <c r="E61" s="27"/>
      <c r="F61" s="27"/>
      <c r="G61" s="27"/>
      <c r="H61" s="27"/>
      <c r="I61" s="27">
        <v>49714.29</v>
      </c>
      <c r="J61" s="38">
        <v>20571.43</v>
      </c>
      <c r="K61" s="38">
        <v>20571.429</v>
      </c>
    </row>
    <row r="62" spans="2:11" ht="15" thickBot="1" x14ac:dyDescent="0.35">
      <c r="B62" s="36" t="s">
        <v>49</v>
      </c>
      <c r="C62" s="40" t="s">
        <v>71</v>
      </c>
      <c r="D62" s="27"/>
      <c r="E62" s="27"/>
      <c r="F62" s="27"/>
      <c r="G62" s="27"/>
      <c r="H62" s="27"/>
      <c r="I62" s="27">
        <v>0</v>
      </c>
      <c r="J62" s="38">
        <v>20000</v>
      </c>
      <c r="K62" s="38">
        <v>20000</v>
      </c>
    </row>
    <row r="63" spans="2:11" ht="15" thickBot="1" x14ac:dyDescent="0.35">
      <c r="B63" s="39" t="s">
        <v>49</v>
      </c>
      <c r="C63" s="40" t="s">
        <v>78</v>
      </c>
      <c r="D63" s="41">
        <v>25000</v>
      </c>
      <c r="E63" s="41">
        <v>25000</v>
      </c>
      <c r="F63" s="41"/>
      <c r="G63" s="41"/>
      <c r="H63" s="41"/>
      <c r="I63" s="41">
        <v>0</v>
      </c>
      <c r="J63" s="42">
        <v>0</v>
      </c>
      <c r="K63" s="42">
        <v>0</v>
      </c>
    </row>
    <row r="64" spans="2:11" ht="15" thickBot="1" x14ac:dyDescent="0.35">
      <c r="B64" s="43"/>
      <c r="C64" s="44" t="s">
        <v>72</v>
      </c>
      <c r="D64" s="45">
        <f>D57+D59</f>
        <v>534290</v>
      </c>
      <c r="E64" s="45">
        <f t="shared" ref="E64:J64" si="14">E57+E59</f>
        <v>584749.84</v>
      </c>
      <c r="F64" s="45">
        <f t="shared" si="14"/>
        <v>660224.99999999988</v>
      </c>
      <c r="G64" s="45">
        <f t="shared" si="14"/>
        <v>685224.99999999988</v>
      </c>
      <c r="H64" s="45">
        <f t="shared" si="14"/>
        <v>685224.99999999988</v>
      </c>
      <c r="I64" s="45">
        <f t="shared" si="14"/>
        <v>846321</v>
      </c>
      <c r="J64" s="45">
        <f t="shared" si="14"/>
        <v>961962.93</v>
      </c>
      <c r="K64" s="45">
        <f>K57+K59</f>
        <v>1095933.0589999999</v>
      </c>
    </row>
    <row r="66" spans="9:9" x14ac:dyDescent="0.3">
      <c r="I66" s="71"/>
    </row>
  </sheetData>
  <mergeCells count="2">
    <mergeCell ref="B28:K28"/>
    <mergeCell ref="C26:C27"/>
  </mergeCells>
  <pageMargins left="0.7" right="0.7" top="0.75" bottom="0.75" header="0.3" footer="0.3"/>
  <pageSetup paperSize="9" orientation="portrait" r:id="rId1"/>
  <ignoredErrors>
    <ignoredError sqref="E39" formulaRange="1"/>
    <ignoredError sqref="F21 H5:K5" evalError="1"/>
    <ignoredError sqref="F5:G5" evalError="1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Hárok1</vt:lpstr>
      <vt:lpstr>Hárok2</vt:lpstr>
      <vt:lpstr>Hárok3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Drahosova Daniela</cp:lastModifiedBy>
  <dcterms:created xsi:type="dcterms:W3CDTF">2018-10-01T10:32:09Z</dcterms:created>
  <dcterms:modified xsi:type="dcterms:W3CDTF">2019-02-07T07:18:59Z</dcterms:modified>
</cp:coreProperties>
</file>